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05" yWindow="2370" windowWidth="11535" windowHeight="3585" activeTab="0"/>
  </bookViews>
  <sheets>
    <sheet name="economic-resizing" sheetId="1" r:id="rId1"/>
  </sheets>
  <definedNames/>
  <calcPr fullCalcOnLoad="1"/>
</workbook>
</file>

<file path=xl/sharedStrings.xml><?xml version="1.0" encoding="utf-8"?>
<sst xmlns="http://schemas.openxmlformats.org/spreadsheetml/2006/main" count="198" uniqueCount="79">
  <si>
    <t>YEAR</t>
  </si>
  <si>
    <t>WIND TURBINE COST (£/kW)</t>
  </si>
  <si>
    <t>PV PANEL COST (£/kW)</t>
  </si>
  <si>
    <t>WIND</t>
  </si>
  <si>
    <t>SOLAR</t>
  </si>
  <si>
    <t>WIND %</t>
  </si>
  <si>
    <t>SCENARIO 1</t>
  </si>
  <si>
    <t xml:space="preserve">SCENARIO 2 </t>
  </si>
  <si>
    <t>SCENARIO 3</t>
  </si>
  <si>
    <t>COSTS</t>
  </si>
  <si>
    <t>Discount Factor (8% per annum)</t>
  </si>
  <si>
    <t>BENEFITS</t>
  </si>
  <si>
    <t>FIT INFO</t>
  </si>
  <si>
    <t>SCENARIO 2</t>
  </si>
  <si>
    <t xml:space="preserve">INFORMATION </t>
  </si>
  <si>
    <t>INVESTMENT RETURN WITH FIT</t>
  </si>
  <si>
    <t>INVESTMENT RETURN WITHOUT FIT</t>
  </si>
  <si>
    <t>PV</t>
  </si>
  <si>
    <t>0% Capital Cost</t>
  </si>
  <si>
    <t>3% Capital Cost</t>
  </si>
  <si>
    <t>- Anual maintenance costs assumptions</t>
  </si>
  <si>
    <t>- Equipment costs approximation</t>
  </si>
  <si>
    <t>Present scenario</t>
  </si>
  <si>
    <t>2020 scenario</t>
  </si>
  <si>
    <t>2050 scenario</t>
  </si>
  <si>
    <t>- Feed-In tariffs information</t>
  </si>
  <si>
    <t>From (kW)</t>
  </si>
  <si>
    <t>To (kW)</t>
  </si>
  <si>
    <t>Price (p/kWh)</t>
  </si>
  <si>
    <t>- Scenarios information</t>
  </si>
  <si>
    <t>ELECTRICITY COST (p/kWh)</t>
  </si>
  <si>
    <t>SURPLUS (kWh)/day</t>
  </si>
  <si>
    <t>Deficit</t>
  </si>
  <si>
    <t>INVESTMENT RETURN PAYING TO THE GRID</t>
  </si>
  <si>
    <t>- Surplus evolution approximation</t>
  </si>
  <si>
    <t>DEFICIT (kWh/day)</t>
  </si>
  <si>
    <t>- Deficit evolution approximation</t>
  </si>
  <si>
    <t>Investment</t>
  </si>
  <si>
    <t>Maintenance costs Costs</t>
  </si>
  <si>
    <t>Cumulative present value of costs</t>
  </si>
  <si>
    <t>Present value of costs</t>
  </si>
  <si>
    <t>Discount factor (8% per annum)</t>
  </si>
  <si>
    <t>Total costs</t>
  </si>
  <si>
    <t xml:space="preserve">Present value of benefits </t>
  </si>
  <si>
    <t>Cumulative present value of benefits</t>
  </si>
  <si>
    <t>Cumulative present value benfits and costs</t>
  </si>
  <si>
    <t>Payment to the grid (surplus storage)</t>
  </si>
  <si>
    <t>FIGURE</t>
  </si>
  <si>
    <t>INSTALLED WIND (kW)</t>
  </si>
  <si>
    <t>INSTALLED SOLAR (kW)</t>
  </si>
  <si>
    <t>SURPLUS (kWh/day)</t>
  </si>
  <si>
    <t>- Earnings with and without FIT. Cost to sell the surplus to the grid (2050 assumption)</t>
  </si>
  <si>
    <t>Maintenance costs</t>
  </si>
  <si>
    <t>CAPITAL COST (£)</t>
  </si>
  <si>
    <t>RENEWLE SUPPLY (kWh/day)</t>
  </si>
  <si>
    <t>SCENARIO FIT (p/kWh)</t>
  </si>
  <si>
    <t>TOTAL CONSUMPTION (kWh/day)</t>
  </si>
  <si>
    <t>-</t>
  </si>
  <si>
    <t xml:space="preserve">Scenario 2: </t>
  </si>
  <si>
    <t>y=17.178x-34491.01</t>
  </si>
  <si>
    <t>Scenario 3:</t>
  </si>
  <si>
    <t>y=17.178x-35137.15</t>
  </si>
  <si>
    <t>SURPLUS SCENARIO 1 (kWh)/day</t>
  </si>
  <si>
    <t>SURPLUS SCENARIO 2 (kWh)/day</t>
  </si>
  <si>
    <t>SURPLUS SCENARIO 3 (kWh)/day</t>
  </si>
  <si>
    <t>DEFICIT SCENARIO 1 (kWh/day)</t>
  </si>
  <si>
    <t>DEFICIT SCENARIO 2 (kWh/day)</t>
  </si>
  <si>
    <t>DEFICIT SCENARIO 3 (kWh/day)</t>
  </si>
  <si>
    <t>y=-15.73x+32341.28</t>
  </si>
  <si>
    <t>y=-15.73x+32403.85</t>
  </si>
  <si>
    <t>ANNUAL DEFICIT COST - SCENARIO 3 (£)</t>
  </si>
  <si>
    <t>ANNUAL DEFICIT COST - SCENARIO 2 (£)</t>
  </si>
  <si>
    <t>ANNUAL DEFICIT COST - SCENARIO 1 (£)</t>
  </si>
  <si>
    <t>- Expenses - electricity bouught to the grid (deficit)</t>
  </si>
  <si>
    <t>ANNUAL EARNINGS WITH FITS (£)</t>
  </si>
  <si>
    <t>ANNUAL EARNINGS WITHOUT FITS (£)</t>
  </si>
  <si>
    <t>ANNUAL PAYMENT  TO THE GRID - 2050 (£)</t>
  </si>
  <si>
    <t>Economic savings</t>
  </si>
  <si>
    <t xml:space="preserve">Economic savings 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</si>
</sst>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[$-C0A]dddd\,\ dd&quot; de &quot;mmmm&quot; de &quot;yyyy"/>
  </numFmts>
  <fonts count="62">
    <font>
      <sz val="10"/>
      <name val="Arial"/>
      <family val="0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20"/>
      <name val="Calibri"/>
      <family val="2"/>
    </font>
    <font>
      <b/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sz val="10"/>
      <color indexed="8"/>
      <name val="Calibri"/>
      <family val="0"/>
    </font>
    <font>
      <b/>
      <sz val="11.75"/>
      <color indexed="8"/>
      <name val="Calibri"/>
      <family val="0"/>
    </font>
    <font>
      <b/>
      <sz val="17"/>
      <color indexed="8"/>
      <name val="Calibri"/>
      <family val="0"/>
    </font>
    <font>
      <b/>
      <sz val="15.5"/>
      <color indexed="8"/>
      <name val="Calibri"/>
      <family val="0"/>
    </font>
    <font>
      <sz val="10.1"/>
      <color indexed="8"/>
      <name val="Calibri"/>
      <family val="0"/>
    </font>
    <font>
      <sz val="8"/>
      <color indexed="8"/>
      <name val="Calibri"/>
      <family val="0"/>
    </font>
    <font>
      <sz val="10.5"/>
      <color indexed="8"/>
      <name val="Calibri"/>
      <family val="0"/>
    </font>
    <font>
      <b/>
      <sz val="11.5"/>
      <color indexed="8"/>
      <name val="Calibri"/>
      <family val="0"/>
    </font>
    <font>
      <sz val="9.25"/>
      <color indexed="8"/>
      <name val="Calibri"/>
      <family val="0"/>
    </font>
    <font>
      <b/>
      <sz val="16"/>
      <color indexed="8"/>
      <name val="Calibri"/>
      <family val="0"/>
    </font>
    <font>
      <vertAlign val="superscript"/>
      <sz val="9.25"/>
      <color indexed="8"/>
      <name val="Calibri"/>
      <family val="0"/>
    </font>
    <font>
      <sz val="11.5"/>
      <color indexed="8"/>
      <name val="Calibri"/>
      <family val="0"/>
    </font>
    <font>
      <b/>
      <sz val="12.5"/>
      <color indexed="8"/>
      <name val="Calibri"/>
      <family val="0"/>
    </font>
    <font>
      <sz val="10.25"/>
      <color indexed="8"/>
      <name val="Calibri"/>
      <family val="0"/>
    </font>
    <font>
      <b/>
      <sz val="17.25"/>
      <color indexed="8"/>
      <name val="Calibri"/>
      <family val="0"/>
    </font>
    <font>
      <vertAlign val="superscript"/>
      <sz val="10.25"/>
      <color indexed="8"/>
      <name val="Calibri"/>
      <family val="0"/>
    </font>
    <font>
      <vertAlign val="superscript"/>
      <sz val="11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7" fillId="32" borderId="12" xfId="0" applyNumberFormat="1" applyFont="1" applyFill="1" applyBorder="1" applyAlignment="1">
      <alignment horizontal="center"/>
    </xf>
    <xf numFmtId="2" fontId="7" fillId="32" borderId="11" xfId="0" applyNumberFormat="1" applyFont="1" applyFill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2" fontId="7" fillId="33" borderId="10" xfId="0" applyNumberFormat="1" applyFont="1" applyFill="1" applyBorder="1" applyAlignment="1">
      <alignment horizontal="center"/>
    </xf>
    <xf numFmtId="2" fontId="7" fillId="33" borderId="11" xfId="0" applyNumberFormat="1" applyFont="1" applyFill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1" fillId="33" borderId="19" xfId="0" applyFont="1" applyFill="1" applyBorder="1" applyAlignment="1">
      <alignment horizont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1" fillId="33" borderId="22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1" fillId="33" borderId="24" xfId="0" applyFont="1" applyFill="1" applyBorder="1" applyAlignment="1">
      <alignment horizontal="center" wrapText="1"/>
    </xf>
    <xf numFmtId="0" fontId="1" fillId="33" borderId="25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wrapText="1"/>
    </xf>
    <xf numFmtId="0" fontId="1" fillId="33" borderId="27" xfId="0" applyFont="1" applyFill="1" applyBorder="1" applyAlignment="1">
      <alignment horizontal="center" wrapText="1"/>
    </xf>
    <xf numFmtId="1" fontId="1" fillId="33" borderId="28" xfId="0" applyNumberFormat="1" applyFont="1" applyFill="1" applyBorder="1" applyAlignment="1">
      <alignment horizontal="center"/>
    </xf>
    <xf numFmtId="1" fontId="1" fillId="33" borderId="29" xfId="0" applyNumberFormat="1" applyFont="1" applyFill="1" applyBorder="1" applyAlignment="1">
      <alignment horizontal="center"/>
    </xf>
    <xf numFmtId="1" fontId="1" fillId="33" borderId="30" xfId="0" applyNumberFormat="1" applyFont="1" applyFill="1" applyBorder="1" applyAlignment="1">
      <alignment horizontal="center"/>
    </xf>
    <xf numFmtId="1" fontId="1" fillId="33" borderId="18" xfId="0" applyNumberFormat="1" applyFont="1" applyFill="1" applyBorder="1" applyAlignment="1">
      <alignment horizontal="center"/>
    </xf>
    <xf numFmtId="1" fontId="1" fillId="33" borderId="31" xfId="0" applyNumberFormat="1" applyFont="1" applyFill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" fontId="7" fillId="0" borderId="32" xfId="0" applyNumberFormat="1" applyFont="1" applyBorder="1" applyAlignment="1">
      <alignment horizontal="center"/>
    </xf>
    <xf numFmtId="1" fontId="7" fillId="0" borderId="33" xfId="0" applyNumberFormat="1" applyFont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2" fontId="7" fillId="32" borderId="24" xfId="0" applyNumberFormat="1" applyFont="1" applyFill="1" applyBorder="1" applyAlignment="1">
      <alignment horizontal="center"/>
    </xf>
    <xf numFmtId="2" fontId="7" fillId="32" borderId="25" xfId="0" applyNumberFormat="1" applyFont="1" applyFill="1" applyBorder="1" applyAlignment="1">
      <alignment horizontal="center"/>
    </xf>
    <xf numFmtId="1" fontId="7" fillId="0" borderId="34" xfId="0" applyNumberFormat="1" applyFont="1" applyBorder="1" applyAlignment="1">
      <alignment horizontal="center"/>
    </xf>
    <xf numFmtId="2" fontId="7" fillId="33" borderId="12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32" borderId="35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10" fillId="34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Alignment="1" quotePrefix="1">
      <alignment/>
    </xf>
    <xf numFmtId="0" fontId="8" fillId="33" borderId="36" xfId="0" applyFont="1" applyFill="1" applyBorder="1" applyAlignment="1">
      <alignment horizontal="center" wrapText="1"/>
    </xf>
    <xf numFmtId="0" fontId="8" fillId="33" borderId="3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7" fillId="0" borderId="38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33" borderId="37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34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34" borderId="0" xfId="0" applyFont="1" applyFill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8" fillId="33" borderId="40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7" fillId="34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 wrapText="1"/>
    </xf>
    <xf numFmtId="0" fontId="8" fillId="33" borderId="43" xfId="0" applyFont="1" applyFill="1" applyBorder="1" applyAlignment="1">
      <alignment horizontal="center" wrapText="1"/>
    </xf>
    <xf numFmtId="0" fontId="8" fillId="33" borderId="44" xfId="0" applyFont="1" applyFill="1" applyBorder="1" applyAlignment="1">
      <alignment horizontal="center" wrapText="1"/>
    </xf>
    <xf numFmtId="0" fontId="8" fillId="33" borderId="45" xfId="0" applyFont="1" applyFill="1" applyBorder="1" applyAlignment="1">
      <alignment horizontal="center" wrapText="1"/>
    </xf>
    <xf numFmtId="0" fontId="8" fillId="33" borderId="46" xfId="0" applyFont="1" applyFill="1" applyBorder="1" applyAlignment="1">
      <alignment horizontal="center" wrapText="1"/>
    </xf>
    <xf numFmtId="2" fontId="7" fillId="0" borderId="20" xfId="0" applyNumberFormat="1" applyFont="1" applyBorder="1" applyAlignment="1">
      <alignment horizontal="center"/>
    </xf>
    <xf numFmtId="2" fontId="7" fillId="0" borderId="47" xfId="0" applyNumberFormat="1" applyFont="1" applyBorder="1" applyAlignment="1">
      <alignment horizontal="center"/>
    </xf>
    <xf numFmtId="2" fontId="7" fillId="0" borderId="30" xfId="0" applyNumberFormat="1" applyFont="1" applyFill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2" fontId="7" fillId="0" borderId="35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7" fillId="0" borderId="48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1" fontId="1" fillId="33" borderId="50" xfId="0" applyNumberFormat="1" applyFont="1" applyFill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2" fontId="5" fillId="0" borderId="30" xfId="0" applyNumberFormat="1" applyFont="1" applyBorder="1" applyAlignment="1">
      <alignment horizontal="center"/>
    </xf>
    <xf numFmtId="2" fontId="5" fillId="0" borderId="30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8" fillId="33" borderId="52" xfId="0" applyFont="1" applyFill="1" applyBorder="1" applyAlignment="1">
      <alignment horizontal="center"/>
    </xf>
    <xf numFmtId="0" fontId="8" fillId="33" borderId="49" xfId="0" applyFont="1" applyFill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1" fontId="7" fillId="0" borderId="33" xfId="0" applyNumberFormat="1" applyFont="1" applyFill="1" applyBorder="1" applyAlignment="1">
      <alignment horizontal="center"/>
    </xf>
    <xf numFmtId="0" fontId="8" fillId="33" borderId="53" xfId="0" applyFont="1" applyFill="1" applyBorder="1" applyAlignment="1">
      <alignment horizontal="center"/>
    </xf>
    <xf numFmtId="0" fontId="9" fillId="35" borderId="37" xfId="0" applyFont="1" applyFill="1" applyBorder="1" applyAlignment="1">
      <alignment horizontal="center"/>
    </xf>
    <xf numFmtId="0" fontId="9" fillId="35" borderId="46" xfId="0" applyFont="1" applyFill="1" applyBorder="1" applyAlignment="1">
      <alignment horizontal="center"/>
    </xf>
    <xf numFmtId="0" fontId="8" fillId="10" borderId="19" xfId="0" applyFont="1" applyFill="1" applyBorder="1" applyAlignment="1">
      <alignment horizontal="center"/>
    </xf>
    <xf numFmtId="0" fontId="8" fillId="10" borderId="37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left"/>
    </xf>
    <xf numFmtId="0" fontId="8" fillId="33" borderId="30" xfId="0" applyFont="1" applyFill="1" applyBorder="1" applyAlignment="1">
      <alignment horizontal="left"/>
    </xf>
    <xf numFmtId="0" fontId="8" fillId="33" borderId="54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55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50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2" fontId="7" fillId="0" borderId="58" xfId="0" applyNumberFormat="1" applyFont="1" applyFill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2" fontId="7" fillId="0" borderId="28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2" fontId="5" fillId="0" borderId="29" xfId="0" applyNumberFormat="1" applyFont="1" applyFill="1" applyBorder="1" applyAlignment="1">
      <alignment horizontal="center"/>
    </xf>
    <xf numFmtId="2" fontId="7" fillId="36" borderId="21" xfId="0" applyNumberFormat="1" applyFont="1" applyFill="1" applyBorder="1" applyAlignment="1">
      <alignment horizontal="center"/>
    </xf>
    <xf numFmtId="2" fontId="7" fillId="36" borderId="10" xfId="0" applyNumberFormat="1" applyFont="1" applyFill="1" applyBorder="1" applyAlignment="1">
      <alignment horizontal="center"/>
    </xf>
    <xf numFmtId="2" fontId="7" fillId="36" borderId="26" xfId="0" applyNumberFormat="1" applyFont="1" applyFill="1" applyBorder="1" applyAlignment="1">
      <alignment horizontal="center"/>
    </xf>
    <xf numFmtId="2" fontId="7" fillId="36" borderId="14" xfId="0" applyNumberFormat="1" applyFont="1" applyFill="1" applyBorder="1" applyAlignment="1">
      <alignment horizontal="center"/>
    </xf>
    <xf numFmtId="2" fontId="7" fillId="0" borderId="57" xfId="0" applyNumberFormat="1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7" fillId="0" borderId="50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37" borderId="0" xfId="0" applyFont="1" applyFill="1" applyBorder="1" applyAlignment="1">
      <alignment horizontal="center"/>
    </xf>
    <xf numFmtId="2" fontId="7" fillId="36" borderId="17" xfId="0" applyNumberFormat="1" applyFont="1" applyFill="1" applyBorder="1" applyAlignment="1">
      <alignment horizontal="center"/>
    </xf>
    <xf numFmtId="2" fontId="7" fillId="36" borderId="30" xfId="0" applyNumberFormat="1" applyFont="1" applyFill="1" applyBorder="1" applyAlignment="1">
      <alignment horizontal="center"/>
    </xf>
    <xf numFmtId="2" fontId="7" fillId="36" borderId="56" xfId="0" applyNumberFormat="1" applyFont="1" applyFill="1" applyBorder="1" applyAlignment="1">
      <alignment horizontal="center"/>
    </xf>
    <xf numFmtId="2" fontId="7" fillId="36" borderId="57" xfId="0" applyNumberFormat="1" applyFont="1" applyFill="1" applyBorder="1" applyAlignment="1">
      <alignment horizontal="center"/>
    </xf>
    <xf numFmtId="2" fontId="7" fillId="0" borderId="60" xfId="0" applyNumberFormat="1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1" fontId="7" fillId="0" borderId="51" xfId="0" applyNumberFormat="1" applyFont="1" applyFill="1" applyBorder="1" applyAlignment="1">
      <alignment horizontal="center"/>
    </xf>
    <xf numFmtId="1" fontId="7" fillId="0" borderId="61" xfId="0" applyNumberFormat="1" applyFont="1" applyFill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23" xfId="0" applyNumberFormat="1" applyFont="1" applyBorder="1" applyAlignment="1">
      <alignment horizontal="center"/>
    </xf>
    <xf numFmtId="2" fontId="7" fillId="36" borderId="22" xfId="0" applyNumberFormat="1" applyFont="1" applyFill="1" applyBorder="1" applyAlignment="1">
      <alignment horizontal="center"/>
    </xf>
    <xf numFmtId="2" fontId="7" fillId="36" borderId="11" xfId="0" applyNumberFormat="1" applyFont="1" applyFill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0" fontId="8" fillId="33" borderId="62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33" borderId="59" xfId="0" applyFont="1" applyFill="1" applyBorder="1" applyAlignment="1">
      <alignment horizontal="center"/>
    </xf>
    <xf numFmtId="0" fontId="10" fillId="37" borderId="36" xfId="0" applyFont="1" applyFill="1" applyBorder="1" applyAlignment="1">
      <alignment horizontal="center"/>
    </xf>
    <xf numFmtId="0" fontId="10" fillId="37" borderId="42" xfId="0" applyFont="1" applyFill="1" applyBorder="1" applyAlignment="1">
      <alignment horizontal="center"/>
    </xf>
    <xf numFmtId="0" fontId="8" fillId="33" borderId="36" xfId="0" applyFont="1" applyFill="1" applyBorder="1" applyAlignment="1">
      <alignment horizontal="center" wrapText="1"/>
    </xf>
    <xf numFmtId="0" fontId="8" fillId="33" borderId="42" xfId="0" applyFont="1" applyFill="1" applyBorder="1" applyAlignment="1">
      <alignment horizontal="center" wrapText="1"/>
    </xf>
    <xf numFmtId="0" fontId="8" fillId="33" borderId="63" xfId="0" applyFont="1" applyFill="1" applyBorder="1" applyAlignment="1">
      <alignment horizontal="center" wrapText="1"/>
    </xf>
    <xf numFmtId="0" fontId="8" fillId="33" borderId="64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/>
    </xf>
    <xf numFmtId="0" fontId="8" fillId="33" borderId="41" xfId="0" applyFont="1" applyFill="1" applyBorder="1" applyAlignment="1">
      <alignment horizontal="center"/>
    </xf>
    <xf numFmtId="0" fontId="10" fillId="37" borderId="63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 wrapText="1"/>
    </xf>
    <xf numFmtId="0" fontId="1" fillId="33" borderId="42" xfId="0" applyFont="1" applyFill="1" applyBorder="1" applyAlignment="1">
      <alignment horizontal="center" wrapText="1"/>
    </xf>
    <xf numFmtId="0" fontId="1" fillId="33" borderId="63" xfId="0" applyFont="1" applyFill="1" applyBorder="1" applyAlignment="1">
      <alignment horizontal="center" wrapText="1"/>
    </xf>
    <xf numFmtId="0" fontId="8" fillId="33" borderId="5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solidFill>
                  <a:srgbClr val="000000"/>
                </a:solidFill>
              </a:rPr>
              <a:t>Investment</a:t>
            </a:r>
            <a:r>
              <a:rPr lang="en-US" cap="none" sz="1550" b="1" i="0" u="none" baseline="0">
                <a:solidFill>
                  <a:srgbClr val="000000"/>
                </a:solidFill>
              </a:rPr>
              <a:t> return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097"/>
          <c:w val="0.7635"/>
          <c:h val="0.83875"/>
        </c:manualLayout>
      </c:layout>
      <c:scatterChart>
        <c:scatterStyle val="lineMarker"/>
        <c:varyColors val="0"/>
        <c:ser>
          <c:idx val="0"/>
          <c:order val="0"/>
          <c:tx>
            <c:v>Present scenario with FIT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'economic-resizing'!$R$5:$AP$5</c:f>
              <c:numCache/>
            </c:numRef>
          </c:xVal>
          <c:yVal>
            <c:numRef>
              <c:f>'economic-resizing'!$R$18:$AP$18</c:f>
              <c:numCache/>
            </c:numRef>
          </c:yVal>
          <c:smooth val="0"/>
        </c:ser>
        <c:ser>
          <c:idx val="1"/>
          <c:order val="1"/>
          <c:tx>
            <c:v>Present scenario without FIT</c:v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'economic-resizing'!$AU$5:$BS$5</c:f>
              <c:numCache/>
            </c:numRef>
          </c:xVal>
          <c:yVal>
            <c:numRef>
              <c:f>'economic-resizing'!$AU$18:$BS$18</c:f>
              <c:numCache/>
            </c:numRef>
          </c:yVal>
          <c:smooth val="0"/>
        </c:ser>
        <c:ser>
          <c:idx val="2"/>
          <c:order val="2"/>
          <c:tx>
            <c:v>2020 scenario with FIT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'economic-resizing'!$R$21:$AP$21</c:f>
              <c:numCache/>
            </c:numRef>
          </c:xVal>
          <c:yVal>
            <c:numRef>
              <c:f>'economic-resizing'!$R$34:$AP$34</c:f>
              <c:numCache/>
            </c:numRef>
          </c:yVal>
          <c:smooth val="0"/>
        </c:ser>
        <c:ser>
          <c:idx val="3"/>
          <c:order val="3"/>
          <c:tx>
            <c:v>2020 scenario without FIT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'economic-resizing'!$R$21:$AP$21</c:f>
              <c:numCache/>
            </c:numRef>
          </c:xVal>
          <c:yVal>
            <c:numRef>
              <c:f>'economic-resizing'!$AU$34:$BS$34</c:f>
              <c:numCache/>
            </c:numRef>
          </c:yVal>
          <c:smooth val="0"/>
        </c:ser>
        <c:ser>
          <c:idx val="4"/>
          <c:order val="4"/>
          <c:tx>
            <c:v>2050 sceanario with FIT</c:v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'economic-resizing'!$R$37:$AP$37</c:f>
              <c:numCache/>
            </c:numRef>
          </c:xVal>
          <c:yVal>
            <c:numRef>
              <c:f>'economic-resizing'!$R$50:$AP$50</c:f>
              <c:numCache/>
            </c:numRef>
          </c:yVal>
          <c:smooth val="0"/>
        </c:ser>
        <c:ser>
          <c:idx val="5"/>
          <c:order val="5"/>
          <c:tx>
            <c:v>2050 scenario without FIT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'economic-resizing'!$AU$37:$BS$37</c:f>
              <c:numCache/>
            </c:numRef>
          </c:xVal>
          <c:yVal>
            <c:numRef>
              <c:f>'economic-resizing'!$AU$50:$BS$50</c:f>
              <c:numCache/>
            </c:numRef>
          </c:yVal>
          <c:smooth val="0"/>
        </c:ser>
        <c:ser>
          <c:idx val="6"/>
          <c:order val="6"/>
          <c:tx>
            <c:v>2050 scenario - pay to export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'economic-resizing'!$AU$37:$BS$37</c:f>
              <c:numCache/>
            </c:numRef>
          </c:xVal>
          <c:yVal>
            <c:numRef>
              <c:f>'economic-resizing'!$BX$19:$CV$19</c:f>
              <c:numCache/>
            </c:numRef>
          </c:yVal>
          <c:smooth val="0"/>
        </c:ser>
        <c:axId val="26160305"/>
        <c:axId val="34116154"/>
      </c:scatterChart>
      <c:valAx>
        <c:axId val="26160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07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116154"/>
        <c:crosses val="autoZero"/>
        <c:crossBetween val="midCat"/>
        <c:dispUnits/>
      </c:valAx>
      <c:valAx>
        <c:axId val="34116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</a:rPr>
                  <a:t>£ 000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1603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75"/>
          <c:y val="0.1075"/>
          <c:w val="0.18375"/>
          <c:h val="0.7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Surplus increase with time - scenario 1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4475"/>
          <c:w val="0.9145"/>
          <c:h val="0.79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'economic-resizing'!$B$93:$B$95</c:f>
              <c:numCache/>
            </c:numRef>
          </c:xVal>
          <c:yVal>
            <c:numRef>
              <c:f>'economic-resizing'!$C$93:$C$95</c:f>
              <c:numCache/>
            </c:numRef>
          </c:yVal>
          <c:smooth val="0"/>
        </c:ser>
        <c:axId val="38609931"/>
        <c:axId val="11945060"/>
      </c:scatterChart>
      <c:valAx>
        <c:axId val="38609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12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1945060"/>
        <c:crosses val="autoZero"/>
        <c:crossBetween val="midCat"/>
        <c:dispUnits/>
      </c:valAx>
      <c:valAx>
        <c:axId val="119450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</a:rPr>
                  <a:t>Surplus (kWh)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860993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solidFill>
                  <a:srgbClr val="000000"/>
                </a:solidFill>
              </a:rPr>
              <a:t>Deficit decrease with time - scenario 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8425"/>
          <c:w val="0.897"/>
          <c:h val="0.72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12700">
                <a:solidFill>
                  <a:srgbClr val="00008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trendline>
            <c:spPr>
              <a:ln w="12700">
                <a:solidFill>
                  <a:srgbClr val="00008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'economic-resizing'!$B$93:$B$95</c:f>
              <c:numCache/>
            </c:numRef>
          </c:xVal>
          <c:yVal>
            <c:numRef>
              <c:f>'economic-resizing'!$C$177:$C$179</c:f>
              <c:numCache/>
            </c:numRef>
          </c:yVal>
          <c:smooth val="0"/>
        </c:ser>
        <c:axId val="40396677"/>
        <c:axId val="28025774"/>
      </c:scatterChart>
      <c:valAx>
        <c:axId val="40396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28025774"/>
        <c:crosses val="autoZero"/>
        <c:crossBetween val="midCat"/>
        <c:dispUnits/>
      </c:valAx>
      <c:valAx>
        <c:axId val="28025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</a:rPr>
                  <a:t>Deficit (kWh)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4039667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102</xdr:col>
      <xdr:colOff>304800</xdr:colOff>
      <xdr:row>2</xdr:row>
      <xdr:rowOff>123825</xdr:rowOff>
    </xdr:from>
    <xdr:to>
      <xdr:col>111</xdr:col>
      <xdr:colOff>9525</xdr:colOff>
      <xdr:row>20</xdr:row>
      <xdr:rowOff>0</xdr:rowOff>
    </xdr:to>
    <xdr:graphicFrame>
      <xdr:nvGraphicFramePr>
        <xdr:cNvPr id="1" name="Chart 41"/>
        <xdr:cNvGraphicFramePr/>
      </xdr:nvGraphicFramePr>
      <xdr:xfrm>
        <a:off x="88734900" y="628650"/>
        <a:ext cx="6562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895350</xdr:colOff>
      <xdr:row>91</xdr:row>
      <xdr:rowOff>0</xdr:rowOff>
    </xdr:from>
    <xdr:to>
      <xdr:col>11</xdr:col>
      <xdr:colOff>38100</xdr:colOff>
      <xdr:row>107</xdr:row>
      <xdr:rowOff>47625</xdr:rowOff>
    </xdr:to>
    <xdr:graphicFrame>
      <xdr:nvGraphicFramePr>
        <xdr:cNvPr id="2" name="Chart 42"/>
        <xdr:cNvGraphicFramePr/>
      </xdr:nvGraphicFramePr>
      <xdr:xfrm>
        <a:off x="6896100" y="18040350"/>
        <a:ext cx="54578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174</xdr:row>
      <xdr:rowOff>9525</xdr:rowOff>
    </xdr:from>
    <xdr:to>
      <xdr:col>11</xdr:col>
      <xdr:colOff>866775</xdr:colOff>
      <xdr:row>190</xdr:row>
      <xdr:rowOff>0</xdr:rowOff>
    </xdr:to>
    <xdr:graphicFrame>
      <xdr:nvGraphicFramePr>
        <xdr:cNvPr id="3" name="Chart 43"/>
        <xdr:cNvGraphicFramePr/>
      </xdr:nvGraphicFramePr>
      <xdr:xfrm>
        <a:off x="7258050" y="33918525"/>
        <a:ext cx="59245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J183"/>
  <sheetViews>
    <sheetView tabSelected="1" zoomScale="85" zoomScaleNormal="85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4" sqref="H4"/>
    </sheetView>
  </sheetViews>
  <sheetFormatPr defaultColWidth="11.421875" defaultRowHeight="12.75"/>
  <cols>
    <col min="1" max="1" width="1.8515625" style="50" customWidth="1"/>
    <col min="2" max="2" width="37.140625" style="50" bestFit="1" customWidth="1"/>
    <col min="3" max="3" width="18.7109375" style="50" bestFit="1" customWidth="1"/>
    <col min="4" max="4" width="15.7109375" style="50" customWidth="1"/>
    <col min="5" max="5" width="16.57421875" style="50" bestFit="1" customWidth="1"/>
    <col min="6" max="6" width="18.28125" style="50" bestFit="1" customWidth="1"/>
    <col min="7" max="9" width="15.28125" style="50" bestFit="1" customWidth="1"/>
    <col min="10" max="12" width="15.28125" style="51" customWidth="1"/>
    <col min="13" max="13" width="16.00390625" style="51" bestFit="1" customWidth="1"/>
    <col min="14" max="14" width="11.140625" style="51" customWidth="1"/>
    <col min="15" max="15" width="1.7109375" style="47" customWidth="1"/>
    <col min="16" max="16" width="1.8515625" style="51" customWidth="1"/>
    <col min="17" max="17" width="38.57421875" style="50" bestFit="1" customWidth="1"/>
    <col min="18" max="21" width="13.140625" style="50" bestFit="1" customWidth="1"/>
    <col min="22" max="28" width="12.57421875" style="50" bestFit="1" customWidth="1"/>
    <col min="29" max="42" width="12.57421875" style="50" customWidth="1"/>
    <col min="43" max="43" width="3.57421875" style="51" customWidth="1"/>
    <col min="44" max="44" width="1.7109375" style="47" customWidth="1"/>
    <col min="45" max="45" width="6.28125" style="50" customWidth="1"/>
    <col min="46" max="46" width="38.57421875" style="50" bestFit="1" customWidth="1"/>
    <col min="47" max="50" width="13.140625" style="50" bestFit="1" customWidth="1"/>
    <col min="51" max="52" width="12.57421875" style="50" bestFit="1" customWidth="1"/>
    <col min="53" max="53" width="12.57421875" style="50" customWidth="1"/>
    <col min="54" max="56" width="12.57421875" style="50" bestFit="1" customWidth="1"/>
    <col min="57" max="57" width="12.57421875" style="51" bestFit="1" customWidth="1"/>
    <col min="58" max="71" width="12.57421875" style="51" customWidth="1"/>
    <col min="72" max="72" width="4.421875" style="50" customWidth="1"/>
    <col min="73" max="73" width="1.7109375" style="47" customWidth="1"/>
    <col min="74" max="74" width="6.28125" style="50" customWidth="1"/>
    <col min="75" max="75" width="38.57421875" style="50" bestFit="1" customWidth="1"/>
    <col min="76" max="79" width="13.140625" style="50" bestFit="1" customWidth="1"/>
    <col min="80" max="81" width="12.57421875" style="50" bestFit="1" customWidth="1"/>
    <col min="82" max="82" width="12.57421875" style="50" customWidth="1"/>
    <col min="83" max="85" width="12.57421875" style="50" bestFit="1" customWidth="1"/>
    <col min="86" max="86" width="12.57421875" style="51" bestFit="1" customWidth="1"/>
    <col min="87" max="100" width="12.57421875" style="51" customWidth="1"/>
    <col min="101" max="101" width="4.421875" style="50" customWidth="1"/>
    <col min="102" max="102" width="1.7109375" style="47" customWidth="1"/>
    <col min="103" max="111" width="11.421875" style="50" customWidth="1"/>
    <col min="112" max="112" width="6.00390625" style="51" customWidth="1"/>
    <col min="113" max="113" width="1.7109375" style="47" customWidth="1"/>
    <col min="114" max="16384" width="11.421875" style="50" customWidth="1"/>
  </cols>
  <sheetData>
    <row r="1" spans="2:114" ht="27" thickBot="1">
      <c r="B1" s="172" t="s">
        <v>14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80"/>
      <c r="N1" s="152"/>
      <c r="P1" s="172" t="s">
        <v>15</v>
      </c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  <c r="AO1" s="173"/>
      <c r="AP1" s="173"/>
      <c r="AQ1" s="173"/>
      <c r="AS1" s="172" t="s">
        <v>16</v>
      </c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V1" s="172" t="s">
        <v>33</v>
      </c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Y1" s="172" t="s">
        <v>47</v>
      </c>
      <c r="CZ1" s="173"/>
      <c r="DA1" s="173"/>
      <c r="DB1" s="173"/>
      <c r="DC1" s="173"/>
      <c r="DD1" s="173"/>
      <c r="DE1" s="173"/>
      <c r="DF1" s="173"/>
      <c r="DG1" s="173"/>
      <c r="DH1" s="173"/>
      <c r="DI1" s="48"/>
      <c r="DJ1" s="49"/>
    </row>
    <row r="2" spans="45:101" ht="12.75">
      <c r="AS2" s="51"/>
      <c r="BT2" s="51"/>
      <c r="BV2" s="51"/>
      <c r="CW2" s="51"/>
    </row>
    <row r="3" spans="2:101" ht="13.5" thickBot="1">
      <c r="B3" s="52" t="s">
        <v>21</v>
      </c>
      <c r="AS3" s="51"/>
      <c r="BT3" s="51"/>
      <c r="BV3" s="51"/>
      <c r="CW3" s="51"/>
    </row>
    <row r="4" spans="2:101" ht="27" thickBot="1">
      <c r="B4" s="53" t="s">
        <v>2</v>
      </c>
      <c r="C4" s="54" t="s">
        <v>1</v>
      </c>
      <c r="F4" s="55"/>
      <c r="I4" s="51"/>
      <c r="P4" s="50"/>
      <c r="Q4" s="108" t="s">
        <v>6</v>
      </c>
      <c r="R4" s="177" t="s">
        <v>0</v>
      </c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  <c r="AI4" s="178"/>
      <c r="AJ4" s="178"/>
      <c r="AK4" s="178"/>
      <c r="AL4" s="178"/>
      <c r="AM4" s="178"/>
      <c r="AN4" s="178"/>
      <c r="AO4" s="178"/>
      <c r="AP4" s="179"/>
      <c r="AT4" s="108" t="s">
        <v>6</v>
      </c>
      <c r="AU4" s="184" t="s">
        <v>0</v>
      </c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8"/>
      <c r="BI4" s="178"/>
      <c r="BJ4" s="178"/>
      <c r="BK4" s="178"/>
      <c r="BL4" s="178"/>
      <c r="BM4" s="178"/>
      <c r="BN4" s="178"/>
      <c r="BO4" s="178"/>
      <c r="BP4" s="178"/>
      <c r="BQ4" s="178"/>
      <c r="BR4" s="178"/>
      <c r="BS4" s="179"/>
      <c r="BT4" s="51"/>
      <c r="BW4" s="109" t="s">
        <v>8</v>
      </c>
      <c r="BX4" s="169" t="s">
        <v>0</v>
      </c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1"/>
      <c r="CW4" s="51"/>
    </row>
    <row r="5" spans="2:101" ht="13.5" thickBot="1">
      <c r="B5" s="56">
        <v>40</v>
      </c>
      <c r="C5" s="57">
        <v>1000</v>
      </c>
      <c r="F5" s="58"/>
      <c r="I5" s="51"/>
      <c r="P5" s="50"/>
      <c r="Q5" s="110" t="s">
        <v>9</v>
      </c>
      <c r="R5" s="102">
        <v>2012</v>
      </c>
      <c r="S5" s="103">
        <v>2013</v>
      </c>
      <c r="T5" s="103">
        <v>2014</v>
      </c>
      <c r="U5" s="103">
        <v>2015</v>
      </c>
      <c r="V5" s="103">
        <v>2016</v>
      </c>
      <c r="W5" s="103">
        <v>2017</v>
      </c>
      <c r="X5" s="103">
        <v>2018</v>
      </c>
      <c r="Y5" s="103">
        <v>2019</v>
      </c>
      <c r="Z5" s="103">
        <v>2020</v>
      </c>
      <c r="AA5" s="103">
        <v>2021</v>
      </c>
      <c r="AB5" s="103">
        <v>2022</v>
      </c>
      <c r="AC5" s="103">
        <v>2023</v>
      </c>
      <c r="AD5" s="103">
        <v>2024</v>
      </c>
      <c r="AE5" s="103">
        <v>2025</v>
      </c>
      <c r="AF5" s="103">
        <v>2026</v>
      </c>
      <c r="AG5" s="103">
        <v>2027</v>
      </c>
      <c r="AH5" s="103">
        <v>2028</v>
      </c>
      <c r="AI5" s="103">
        <v>2029</v>
      </c>
      <c r="AJ5" s="103">
        <v>2030</v>
      </c>
      <c r="AK5" s="103">
        <v>2031</v>
      </c>
      <c r="AL5" s="103">
        <v>2032</v>
      </c>
      <c r="AM5" s="103">
        <v>2033</v>
      </c>
      <c r="AN5" s="103">
        <v>2034</v>
      </c>
      <c r="AO5" s="103">
        <v>2035</v>
      </c>
      <c r="AP5" s="104">
        <v>2036</v>
      </c>
      <c r="AT5" s="110" t="s">
        <v>9</v>
      </c>
      <c r="AU5" s="107">
        <v>2012</v>
      </c>
      <c r="AV5" s="72">
        <v>2013</v>
      </c>
      <c r="AW5" s="72">
        <v>2014</v>
      </c>
      <c r="AX5" s="72">
        <v>2015</v>
      </c>
      <c r="AY5" s="72">
        <v>2016</v>
      </c>
      <c r="AZ5" s="72">
        <v>2017</v>
      </c>
      <c r="BA5" s="72">
        <v>2018</v>
      </c>
      <c r="BB5" s="72">
        <v>2019</v>
      </c>
      <c r="BC5" s="72">
        <v>2020</v>
      </c>
      <c r="BD5" s="72">
        <v>2021</v>
      </c>
      <c r="BE5" s="72">
        <v>2022</v>
      </c>
      <c r="BF5" s="72">
        <v>2023</v>
      </c>
      <c r="BG5" s="72">
        <v>2024</v>
      </c>
      <c r="BH5" s="72">
        <v>2025</v>
      </c>
      <c r="BI5" s="72">
        <v>2026</v>
      </c>
      <c r="BJ5" s="72">
        <v>2027</v>
      </c>
      <c r="BK5" s="72">
        <v>2028</v>
      </c>
      <c r="BL5" s="72">
        <v>2029</v>
      </c>
      <c r="BM5" s="72">
        <v>2030</v>
      </c>
      <c r="BN5" s="72">
        <v>2031</v>
      </c>
      <c r="BO5" s="72">
        <v>2032</v>
      </c>
      <c r="BP5" s="72">
        <v>2033</v>
      </c>
      <c r="BQ5" s="72">
        <v>2034</v>
      </c>
      <c r="BR5" s="72">
        <v>2035</v>
      </c>
      <c r="BS5" s="73">
        <v>2036</v>
      </c>
      <c r="BT5" s="51"/>
      <c r="BW5" s="110" t="s">
        <v>9</v>
      </c>
      <c r="BX5" s="107">
        <v>2050</v>
      </c>
      <c r="BY5" s="72">
        <v>2051</v>
      </c>
      <c r="BZ5" s="72">
        <v>2052</v>
      </c>
      <c r="CA5" s="72">
        <v>2053</v>
      </c>
      <c r="CB5" s="72">
        <v>2054</v>
      </c>
      <c r="CC5" s="72">
        <v>2055</v>
      </c>
      <c r="CD5" s="72">
        <v>2056</v>
      </c>
      <c r="CE5" s="72">
        <v>2057</v>
      </c>
      <c r="CF5" s="72">
        <v>2058</v>
      </c>
      <c r="CG5" s="72">
        <v>2059</v>
      </c>
      <c r="CH5" s="72">
        <v>2060</v>
      </c>
      <c r="CI5" s="72">
        <v>2061</v>
      </c>
      <c r="CJ5" s="72">
        <v>2062</v>
      </c>
      <c r="CK5" s="72">
        <v>2063</v>
      </c>
      <c r="CL5" s="72">
        <v>2064</v>
      </c>
      <c r="CM5" s="72">
        <v>2065</v>
      </c>
      <c r="CN5" s="72">
        <v>2066</v>
      </c>
      <c r="CO5" s="72">
        <v>2067</v>
      </c>
      <c r="CP5" s="72">
        <v>2068</v>
      </c>
      <c r="CQ5" s="72">
        <v>2069</v>
      </c>
      <c r="CR5" s="72">
        <v>2070</v>
      </c>
      <c r="CS5" s="72">
        <v>2071</v>
      </c>
      <c r="CT5" s="72">
        <v>2072</v>
      </c>
      <c r="CU5" s="72">
        <v>2073</v>
      </c>
      <c r="CV5" s="73">
        <v>2074</v>
      </c>
      <c r="CW5" s="51"/>
    </row>
    <row r="6" spans="3:101" ht="12.75">
      <c r="C6" s="59"/>
      <c r="D6" s="59"/>
      <c r="F6" s="60"/>
      <c r="G6" s="61"/>
      <c r="H6" s="61"/>
      <c r="I6" s="51"/>
      <c r="P6" s="50"/>
      <c r="Q6" s="112" t="s">
        <v>37</v>
      </c>
      <c r="R6" s="43">
        <f>-E20</f>
        <v>-265920</v>
      </c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9"/>
      <c r="AT6" s="112" t="s">
        <v>37</v>
      </c>
      <c r="AU6" s="43">
        <f>-E20</f>
        <v>-265920</v>
      </c>
      <c r="AV6" s="38"/>
      <c r="AW6" s="38"/>
      <c r="AX6" s="38"/>
      <c r="AY6" s="38"/>
      <c r="AZ6" s="38"/>
      <c r="BA6" s="38"/>
      <c r="BB6" s="38"/>
      <c r="BC6" s="38"/>
      <c r="BD6" s="38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6"/>
      <c r="BT6" s="51"/>
      <c r="BW6" s="112" t="s">
        <v>37</v>
      </c>
      <c r="BX6" s="43">
        <f>-E22</f>
        <v>-84420</v>
      </c>
      <c r="BY6" s="38"/>
      <c r="BZ6" s="38"/>
      <c r="CA6" s="38"/>
      <c r="CB6" s="38"/>
      <c r="CC6" s="38"/>
      <c r="CD6" s="38"/>
      <c r="CE6" s="38"/>
      <c r="CF6" s="38"/>
      <c r="CG6" s="38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6"/>
      <c r="CW6" s="51"/>
    </row>
    <row r="7" spans="2:101" ht="13.5" thickBot="1">
      <c r="B7" s="52" t="s">
        <v>20</v>
      </c>
      <c r="C7" s="59"/>
      <c r="D7" s="59"/>
      <c r="F7" s="60"/>
      <c r="G7" s="61"/>
      <c r="H7" s="61"/>
      <c r="I7" s="51"/>
      <c r="P7" s="50"/>
      <c r="Q7" s="113" t="s">
        <v>52</v>
      </c>
      <c r="R7" s="37"/>
      <c r="S7" s="16">
        <f aca="true" t="shared" si="0" ref="S7:AB7">-0.03*$C$20*$C$5</f>
        <v>-7920</v>
      </c>
      <c r="T7" s="16">
        <f t="shared" si="0"/>
        <v>-7920</v>
      </c>
      <c r="U7" s="16">
        <f t="shared" si="0"/>
        <v>-7920</v>
      </c>
      <c r="V7" s="16">
        <f t="shared" si="0"/>
        <v>-7920</v>
      </c>
      <c r="W7" s="16">
        <f t="shared" si="0"/>
        <v>-7920</v>
      </c>
      <c r="X7" s="16">
        <f t="shared" si="0"/>
        <v>-7920</v>
      </c>
      <c r="Y7" s="16">
        <f t="shared" si="0"/>
        <v>-7920</v>
      </c>
      <c r="Z7" s="16">
        <f t="shared" si="0"/>
        <v>-7920</v>
      </c>
      <c r="AA7" s="16">
        <f t="shared" si="0"/>
        <v>-7920</v>
      </c>
      <c r="AB7" s="16">
        <f t="shared" si="0"/>
        <v>-7920</v>
      </c>
      <c r="AC7" s="16">
        <f aca="true" t="shared" si="1" ref="AC7:AP7">-0.03*$C$20*$C$5</f>
        <v>-7920</v>
      </c>
      <c r="AD7" s="16">
        <f t="shared" si="1"/>
        <v>-7920</v>
      </c>
      <c r="AE7" s="16">
        <f t="shared" si="1"/>
        <v>-7920</v>
      </c>
      <c r="AF7" s="16">
        <f t="shared" si="1"/>
        <v>-7920</v>
      </c>
      <c r="AG7" s="16">
        <f t="shared" si="1"/>
        <v>-7920</v>
      </c>
      <c r="AH7" s="16">
        <f t="shared" si="1"/>
        <v>-7920</v>
      </c>
      <c r="AI7" s="16">
        <f t="shared" si="1"/>
        <v>-7920</v>
      </c>
      <c r="AJ7" s="16">
        <f t="shared" si="1"/>
        <v>-7920</v>
      </c>
      <c r="AK7" s="16">
        <f t="shared" si="1"/>
        <v>-7920</v>
      </c>
      <c r="AL7" s="16">
        <f t="shared" si="1"/>
        <v>-7920</v>
      </c>
      <c r="AM7" s="16">
        <f t="shared" si="1"/>
        <v>-7920</v>
      </c>
      <c r="AN7" s="16">
        <f t="shared" si="1"/>
        <v>-7920</v>
      </c>
      <c r="AO7" s="16">
        <f t="shared" si="1"/>
        <v>-7920</v>
      </c>
      <c r="AP7" s="40">
        <f t="shared" si="1"/>
        <v>-7920</v>
      </c>
      <c r="AT7" s="113" t="s">
        <v>38</v>
      </c>
      <c r="AU7" s="37"/>
      <c r="AV7" s="16">
        <f aca="true" t="shared" si="2" ref="AV7:BE7">-0.03*$C$20*$C$5</f>
        <v>-7920</v>
      </c>
      <c r="AW7" s="16">
        <f t="shared" si="2"/>
        <v>-7920</v>
      </c>
      <c r="AX7" s="16">
        <f t="shared" si="2"/>
        <v>-7920</v>
      </c>
      <c r="AY7" s="16">
        <f t="shared" si="2"/>
        <v>-7920</v>
      </c>
      <c r="AZ7" s="16">
        <f t="shared" si="2"/>
        <v>-7920</v>
      </c>
      <c r="BA7" s="16">
        <f t="shared" si="2"/>
        <v>-7920</v>
      </c>
      <c r="BB7" s="16">
        <f t="shared" si="2"/>
        <v>-7920</v>
      </c>
      <c r="BC7" s="16">
        <f t="shared" si="2"/>
        <v>-7920</v>
      </c>
      <c r="BD7" s="16">
        <f t="shared" si="2"/>
        <v>-7920</v>
      </c>
      <c r="BE7" s="16">
        <f t="shared" si="2"/>
        <v>-7920</v>
      </c>
      <c r="BF7" s="16">
        <f aca="true" t="shared" si="3" ref="BF7:BS7">-0.03*$C$20*$C$5</f>
        <v>-7920</v>
      </c>
      <c r="BG7" s="16">
        <f t="shared" si="3"/>
        <v>-7920</v>
      </c>
      <c r="BH7" s="16">
        <f t="shared" si="3"/>
        <v>-7920</v>
      </c>
      <c r="BI7" s="16">
        <f t="shared" si="3"/>
        <v>-7920</v>
      </c>
      <c r="BJ7" s="16">
        <f t="shared" si="3"/>
        <v>-7920</v>
      </c>
      <c r="BK7" s="16">
        <f t="shared" si="3"/>
        <v>-7920</v>
      </c>
      <c r="BL7" s="16">
        <f t="shared" si="3"/>
        <v>-7920</v>
      </c>
      <c r="BM7" s="16">
        <f t="shared" si="3"/>
        <v>-7920</v>
      </c>
      <c r="BN7" s="16">
        <f t="shared" si="3"/>
        <v>-7920</v>
      </c>
      <c r="BO7" s="16">
        <f t="shared" si="3"/>
        <v>-7920</v>
      </c>
      <c r="BP7" s="16">
        <f t="shared" si="3"/>
        <v>-7920</v>
      </c>
      <c r="BQ7" s="16">
        <f t="shared" si="3"/>
        <v>-7920</v>
      </c>
      <c r="BR7" s="16">
        <f t="shared" si="3"/>
        <v>-7920</v>
      </c>
      <c r="BS7" s="40">
        <f t="shared" si="3"/>
        <v>-7920</v>
      </c>
      <c r="BT7" s="51"/>
      <c r="BW7" s="113" t="s">
        <v>38</v>
      </c>
      <c r="BX7" s="37"/>
      <c r="BY7" s="16">
        <f aca="true" t="shared" si="4" ref="BY7:CV7">-0.03*$C$22*$C$5</f>
        <v>-2520</v>
      </c>
      <c r="BZ7" s="16">
        <f t="shared" si="4"/>
        <v>-2520</v>
      </c>
      <c r="CA7" s="16">
        <f t="shared" si="4"/>
        <v>-2520</v>
      </c>
      <c r="CB7" s="16">
        <f t="shared" si="4"/>
        <v>-2520</v>
      </c>
      <c r="CC7" s="16">
        <f t="shared" si="4"/>
        <v>-2520</v>
      </c>
      <c r="CD7" s="16">
        <f t="shared" si="4"/>
        <v>-2520</v>
      </c>
      <c r="CE7" s="16">
        <f t="shared" si="4"/>
        <v>-2520</v>
      </c>
      <c r="CF7" s="16">
        <f t="shared" si="4"/>
        <v>-2520</v>
      </c>
      <c r="CG7" s="16">
        <f t="shared" si="4"/>
        <v>-2520</v>
      </c>
      <c r="CH7" s="16">
        <f t="shared" si="4"/>
        <v>-2520</v>
      </c>
      <c r="CI7" s="16">
        <f t="shared" si="4"/>
        <v>-2520</v>
      </c>
      <c r="CJ7" s="16">
        <f t="shared" si="4"/>
        <v>-2520</v>
      </c>
      <c r="CK7" s="16">
        <f t="shared" si="4"/>
        <v>-2520</v>
      </c>
      <c r="CL7" s="16">
        <f t="shared" si="4"/>
        <v>-2520</v>
      </c>
      <c r="CM7" s="16">
        <f t="shared" si="4"/>
        <v>-2520</v>
      </c>
      <c r="CN7" s="16">
        <f t="shared" si="4"/>
        <v>-2520</v>
      </c>
      <c r="CO7" s="16">
        <f t="shared" si="4"/>
        <v>-2520</v>
      </c>
      <c r="CP7" s="16">
        <f t="shared" si="4"/>
        <v>-2520</v>
      </c>
      <c r="CQ7" s="16">
        <f t="shared" si="4"/>
        <v>-2520</v>
      </c>
      <c r="CR7" s="16">
        <f t="shared" si="4"/>
        <v>-2520</v>
      </c>
      <c r="CS7" s="16">
        <f t="shared" si="4"/>
        <v>-2520</v>
      </c>
      <c r="CT7" s="16">
        <f t="shared" si="4"/>
        <v>-2520</v>
      </c>
      <c r="CU7" s="16">
        <f t="shared" si="4"/>
        <v>-2520</v>
      </c>
      <c r="CV7" s="40">
        <f t="shared" si="4"/>
        <v>-2520</v>
      </c>
      <c r="CW7" s="51"/>
    </row>
    <row r="8" spans="2:101" ht="13.5" thickBot="1">
      <c r="B8" s="54" t="s">
        <v>17</v>
      </c>
      <c r="C8" s="62" t="s">
        <v>3</v>
      </c>
      <c r="D8" s="59"/>
      <c r="F8" s="60"/>
      <c r="G8" s="61"/>
      <c r="H8" s="61"/>
      <c r="I8" s="51"/>
      <c r="P8" s="50"/>
      <c r="Q8" s="113" t="s">
        <v>32</v>
      </c>
      <c r="R8" s="37">
        <f>-G111</f>
        <v>-29818.572800000064</v>
      </c>
      <c r="S8" s="16">
        <f>-G112</f>
        <v>-29992.531800000026</v>
      </c>
      <c r="T8" s="16">
        <f>-G113</f>
        <v>-30120.559199999996</v>
      </c>
      <c r="U8" s="16">
        <f>-G114</f>
        <v>-30202.654999999962</v>
      </c>
      <c r="V8" s="16">
        <f>-G115</f>
        <v>-30238.819200000176</v>
      </c>
      <c r="W8" s="16">
        <f>-G116</f>
        <v>-30229.05180000015</v>
      </c>
      <c r="X8" s="16">
        <f>-G117</f>
        <v>-30173.35280000012</v>
      </c>
      <c r="Y8" s="16">
        <f>-G118</f>
        <v>-30071.722199999895</v>
      </c>
      <c r="Z8" s="16">
        <f>-G119</f>
        <v>-29924.159999999873</v>
      </c>
      <c r="AA8" s="16">
        <f>-G120</f>
        <v>-29091.36452775947</v>
      </c>
      <c r="AB8" s="16">
        <f>-G121</f>
        <v>-28870.275037102416</v>
      </c>
      <c r="AC8" s="16">
        <f>-G122</f>
        <v>-28603.043899035827</v>
      </c>
      <c r="AD8" s="16">
        <f>-G123</f>
        <v>-28289.7054232492</v>
      </c>
      <c r="AE8" s="16">
        <f>-G124</f>
        <v>-27930.293874155752</v>
      </c>
      <c r="AF8" s="16">
        <f>-G125</f>
        <v>-27524.843470980097</v>
      </c>
      <c r="AG8" s="16">
        <f>-G126</f>
        <v>-27073.38838784239</v>
      </c>
      <c r="AH8" s="16">
        <f>-G127</f>
        <v>-26575.962753837994</v>
      </c>
      <c r="AI8" s="16">
        <f>-G128</f>
        <v>-26032.600653125177</v>
      </c>
      <c r="AJ8" s="16">
        <f>-G129</f>
        <v>-25443.336125008267</v>
      </c>
      <c r="AK8" s="16">
        <f>-G130</f>
        <v>-24808.203164015817</v>
      </c>
      <c r="AL8" s="16">
        <f>-G131</f>
        <v>-24127.235719987453</v>
      </c>
      <c r="AM8" s="16">
        <f>-G132</f>
        <v>-23400.467698155564</v>
      </c>
      <c r="AN8" s="16">
        <f>-G133</f>
        <v>-22627.932959228023</v>
      </c>
      <c r="AO8" s="16">
        <f>-G134</f>
        <v>-21809.665319469626</v>
      </c>
      <c r="AP8" s="40">
        <f>-G135</f>
        <v>-20945.698550784145</v>
      </c>
      <c r="AT8" s="113" t="s">
        <v>32</v>
      </c>
      <c r="AU8" s="37">
        <v>-25041.503817275712</v>
      </c>
      <c r="AV8" s="16">
        <v>-25076.617150451486</v>
      </c>
      <c r="AW8" s="16">
        <v>-25089.08619997692</v>
      </c>
      <c r="AX8" s="16">
        <v>-25080.21276920337</v>
      </c>
      <c r="AY8" s="16">
        <v>-25051.24076342571</v>
      </c>
      <c r="AZ8" s="16">
        <v>-25003.358524015162</v>
      </c>
      <c r="BA8" s="16">
        <v>-24937.701072799387</v>
      </c>
      <c r="BB8" s="16">
        <v>-24855.352270099207</v>
      </c>
      <c r="BC8" s="16">
        <v>-24757.346889629825</v>
      </c>
      <c r="BD8" s="16">
        <v>-24114.73560129039</v>
      </c>
      <c r="BE8" s="16">
        <v>-24002.01671465788</v>
      </c>
      <c r="BF8" s="16">
        <v>-23875.835181153234</v>
      </c>
      <c r="BG8" s="16">
        <v>-23737.082338381024</v>
      </c>
      <c r="BH8" s="16">
        <v>-23586.607982175276</v>
      </c>
      <c r="BI8" s="16">
        <v>-23425.222083079625</v>
      </c>
      <c r="BJ8" s="16">
        <v>-23253.696435791222</v>
      </c>
      <c r="BK8" s="16">
        <v>-23072.766244083097</v>
      </c>
      <c r="BL8" s="16">
        <v>-22883.131643692166</v>
      </c>
      <c r="BM8" s="16">
        <v>-22685.459165507298</v>
      </c>
      <c r="BN8" s="16">
        <v>-22480.38314132037</v>
      </c>
      <c r="BO8" s="16">
        <v>-22268.507054346966</v>
      </c>
      <c r="BP8" s="16">
        <v>-22050.404836603007</v>
      </c>
      <c r="BQ8" s="16">
        <v>-21826.622115160128</v>
      </c>
      <c r="BR8" s="16">
        <v>-21597.677409235683</v>
      </c>
      <c r="BS8" s="40">
        <v>-21364.063279982933</v>
      </c>
      <c r="BT8" s="51"/>
      <c r="BW8" s="113" t="s">
        <v>32</v>
      </c>
      <c r="BX8" s="37">
        <v>-15814.889648222588</v>
      </c>
      <c r="BY8" s="16">
        <v>-14476.768860599856</v>
      </c>
      <c r="BZ8" s="16">
        <v>-13050.860196399915</v>
      </c>
      <c r="CA8" s="16">
        <v>-11579.456282399588</v>
      </c>
      <c r="CB8" s="16">
        <v>-10062.557118599638</v>
      </c>
      <c r="CC8" s="16">
        <v>-8500.162704999688</v>
      </c>
      <c r="CD8" s="16">
        <v>-6892.273041599709</v>
      </c>
      <c r="CE8" s="16">
        <v>-5238.888128399763</v>
      </c>
      <c r="CF8" s="16">
        <v>-3540.0079653998155</v>
      </c>
      <c r="CG8" s="16">
        <v>-1795.6325525998664</v>
      </c>
      <c r="CH8" s="16">
        <v>-5.761889999916154</v>
      </c>
      <c r="CI8" s="16">
        <v>0</v>
      </c>
      <c r="CJ8" s="16">
        <v>0</v>
      </c>
      <c r="CK8" s="16">
        <v>0</v>
      </c>
      <c r="CL8" s="16">
        <v>0</v>
      </c>
      <c r="CM8" s="16">
        <v>0</v>
      </c>
      <c r="CN8" s="16">
        <v>0</v>
      </c>
      <c r="CO8" s="16">
        <v>0</v>
      </c>
      <c r="CP8" s="16">
        <v>0</v>
      </c>
      <c r="CQ8" s="16">
        <v>0</v>
      </c>
      <c r="CR8" s="16">
        <v>0</v>
      </c>
      <c r="CS8" s="16">
        <v>0</v>
      </c>
      <c r="CT8" s="16">
        <v>0</v>
      </c>
      <c r="CU8" s="16">
        <v>0</v>
      </c>
      <c r="CV8" s="40">
        <v>0</v>
      </c>
      <c r="CW8" s="51"/>
    </row>
    <row r="9" spans="2:101" ht="13.5" thickBot="1">
      <c r="B9" s="63" t="s">
        <v>18</v>
      </c>
      <c r="C9" s="64" t="s">
        <v>19</v>
      </c>
      <c r="D9" s="59"/>
      <c r="F9" s="60"/>
      <c r="G9" s="61"/>
      <c r="H9" s="61"/>
      <c r="I9" s="51"/>
      <c r="Q9" s="113" t="s">
        <v>42</v>
      </c>
      <c r="R9" s="6">
        <f aca="true" t="shared" si="5" ref="R9:AP9">SUM(R6:R8)</f>
        <v>-295738.5728000001</v>
      </c>
      <c r="S9" s="11">
        <f t="shared" si="5"/>
        <v>-37912.531800000026</v>
      </c>
      <c r="T9" s="11">
        <f t="shared" si="5"/>
        <v>-38040.559199999996</v>
      </c>
      <c r="U9" s="11">
        <f t="shared" si="5"/>
        <v>-38122.65499999996</v>
      </c>
      <c r="V9" s="11">
        <f t="shared" si="5"/>
        <v>-38158.81920000017</v>
      </c>
      <c r="W9" s="11">
        <f t="shared" si="5"/>
        <v>-38149.05180000015</v>
      </c>
      <c r="X9" s="11">
        <f t="shared" si="5"/>
        <v>-38093.352800000124</v>
      </c>
      <c r="Y9" s="11">
        <f t="shared" si="5"/>
        <v>-37991.722199999895</v>
      </c>
      <c r="Z9" s="11">
        <f t="shared" si="5"/>
        <v>-37844.15999999987</v>
      </c>
      <c r="AA9" s="11">
        <f t="shared" si="5"/>
        <v>-37011.36452775947</v>
      </c>
      <c r="AB9" s="11">
        <f t="shared" si="5"/>
        <v>-36790.275037102416</v>
      </c>
      <c r="AC9" s="11">
        <f t="shared" si="5"/>
        <v>-36523.04389903582</v>
      </c>
      <c r="AD9" s="11">
        <f t="shared" si="5"/>
        <v>-36209.7054232492</v>
      </c>
      <c r="AE9" s="11">
        <f t="shared" si="5"/>
        <v>-35850.29387415575</v>
      </c>
      <c r="AF9" s="11">
        <f t="shared" si="5"/>
        <v>-35444.84347098009</v>
      </c>
      <c r="AG9" s="11">
        <f t="shared" si="5"/>
        <v>-34993.388387842395</v>
      </c>
      <c r="AH9" s="11">
        <f t="shared" si="5"/>
        <v>-34495.962753837994</v>
      </c>
      <c r="AI9" s="11">
        <f t="shared" si="5"/>
        <v>-33952.60065312518</v>
      </c>
      <c r="AJ9" s="11">
        <f t="shared" si="5"/>
        <v>-33363.33612500827</v>
      </c>
      <c r="AK9" s="11">
        <f t="shared" si="5"/>
        <v>-32728.203164015817</v>
      </c>
      <c r="AL9" s="11">
        <f t="shared" si="5"/>
        <v>-32047.235719987453</v>
      </c>
      <c r="AM9" s="11">
        <f t="shared" si="5"/>
        <v>-31320.467698155564</v>
      </c>
      <c r="AN9" s="11">
        <f t="shared" si="5"/>
        <v>-30547.932959228023</v>
      </c>
      <c r="AO9" s="11">
        <f t="shared" si="5"/>
        <v>-29729.665319469626</v>
      </c>
      <c r="AP9" s="7">
        <f t="shared" si="5"/>
        <v>-28865.698550784145</v>
      </c>
      <c r="AS9" s="51"/>
      <c r="AT9" s="113" t="s">
        <v>42</v>
      </c>
      <c r="AU9" s="6">
        <f>SUM(AU6:AU8)</f>
        <v>-290961.5038172757</v>
      </c>
      <c r="AV9" s="11">
        <f aca="true" t="shared" si="6" ref="AV9:BS9">SUM(AV6:AV8)</f>
        <v>-32996.617150451486</v>
      </c>
      <c r="AW9" s="11">
        <f t="shared" si="6"/>
        <v>-33009.08619997692</v>
      </c>
      <c r="AX9" s="11">
        <f t="shared" si="6"/>
        <v>-33000.21276920337</v>
      </c>
      <c r="AY9" s="11">
        <f t="shared" si="6"/>
        <v>-32971.24076342571</v>
      </c>
      <c r="AZ9" s="11">
        <f t="shared" si="6"/>
        <v>-32923.35852401516</v>
      </c>
      <c r="BA9" s="11">
        <f t="shared" si="6"/>
        <v>-32857.70107279939</v>
      </c>
      <c r="BB9" s="11">
        <f t="shared" si="6"/>
        <v>-32775.3522700992</v>
      </c>
      <c r="BC9" s="11">
        <f t="shared" si="6"/>
        <v>-32677.346889629825</v>
      </c>
      <c r="BD9" s="11">
        <f t="shared" si="6"/>
        <v>-32034.73560129039</v>
      </c>
      <c r="BE9" s="11">
        <f t="shared" si="6"/>
        <v>-31922.01671465788</v>
      </c>
      <c r="BF9" s="11">
        <f t="shared" si="6"/>
        <v>-31795.835181153234</v>
      </c>
      <c r="BG9" s="11">
        <f t="shared" si="6"/>
        <v>-31657.082338381024</v>
      </c>
      <c r="BH9" s="11">
        <f t="shared" si="6"/>
        <v>-31506.607982175276</v>
      </c>
      <c r="BI9" s="11">
        <f t="shared" si="6"/>
        <v>-31345.222083079625</v>
      </c>
      <c r="BJ9" s="11">
        <f t="shared" si="6"/>
        <v>-31173.696435791222</v>
      </c>
      <c r="BK9" s="11">
        <f t="shared" si="6"/>
        <v>-30992.766244083097</v>
      </c>
      <c r="BL9" s="11">
        <f t="shared" si="6"/>
        <v>-30803.131643692166</v>
      </c>
      <c r="BM9" s="11">
        <f t="shared" si="6"/>
        <v>-30605.459165507298</v>
      </c>
      <c r="BN9" s="11">
        <f t="shared" si="6"/>
        <v>-30400.38314132037</v>
      </c>
      <c r="BO9" s="11">
        <f t="shared" si="6"/>
        <v>-30188.507054346966</v>
      </c>
      <c r="BP9" s="11">
        <f t="shared" si="6"/>
        <v>-29970.404836603007</v>
      </c>
      <c r="BQ9" s="11">
        <f t="shared" si="6"/>
        <v>-29746.622115160128</v>
      </c>
      <c r="BR9" s="11">
        <f t="shared" si="6"/>
        <v>-29517.677409235683</v>
      </c>
      <c r="BS9" s="7">
        <f t="shared" si="6"/>
        <v>-29284.063279982933</v>
      </c>
      <c r="BT9" s="51"/>
      <c r="BV9" s="51"/>
      <c r="BW9" s="113" t="s">
        <v>46</v>
      </c>
      <c r="BX9" s="37">
        <f>-M65</f>
        <v>-7814.475183662647</v>
      </c>
      <c r="BY9" s="16">
        <f>-M66</f>
        <v>-9703.789820639962</v>
      </c>
      <c r="BZ9" s="16">
        <f>-M67</f>
        <v>-11621.890008559953</v>
      </c>
      <c r="CA9" s="16">
        <f>-M68</f>
        <v>-13589.673438759946</v>
      </c>
      <c r="CB9" s="16">
        <f>-M69</f>
        <v>-15607.140111239944</v>
      </c>
      <c r="CC9" s="16">
        <f>-M70</f>
        <v>-17674.29002599994</v>
      </c>
      <c r="CD9" s="16">
        <f>-M71</f>
        <v>-19791.12318303987</v>
      </c>
      <c r="CE9" s="16">
        <f>-M72</f>
        <v>-21957.639582359865</v>
      </c>
      <c r="CF9" s="16">
        <f>-M73</f>
        <v>-24173.839223959865</v>
      </c>
      <c r="CG9" s="16">
        <f>-M74</f>
        <v>-26439.722107839865</v>
      </c>
      <c r="CH9" s="16">
        <f>-M75</f>
        <v>-28755.288233999865</v>
      </c>
      <c r="CI9" s="16">
        <f>-M76</f>
        <v>-31120.537602439872</v>
      </c>
      <c r="CJ9" s="16">
        <f>-M77</f>
        <v>-33535.470213159766</v>
      </c>
      <c r="CK9" s="16">
        <f>-M78</f>
        <v>-36000.08606615977</v>
      </c>
      <c r="CL9" s="16">
        <f>+-M79</f>
        <v>-38514.38516143978</v>
      </c>
      <c r="CM9" s="16">
        <f>-M80</f>
        <v>-41078.36749899978</v>
      </c>
      <c r="CN9" s="16">
        <f>-M81</f>
        <v>-43692.0330788398</v>
      </c>
      <c r="CO9" s="16">
        <f>-M82</f>
        <v>-46355.381900959655</v>
      </c>
      <c r="CP9" s="16">
        <f>-M83</f>
        <v>-49068.413965359665</v>
      </c>
      <c r="CQ9" s="16">
        <f>-M84</f>
        <v>-51831.12927203966</v>
      </c>
      <c r="CR9" s="16">
        <f>-M85</f>
        <v>-54643.52782099969</v>
      </c>
      <c r="CS9" s="16">
        <f>-M86</f>
        <v>-57505.6096122397</v>
      </c>
      <c r="CT9" s="16">
        <f>-M87</f>
        <v>-60417.374645759526</v>
      </c>
      <c r="CU9" s="16">
        <f>-M88</f>
        <v>-63378.82292155954</v>
      </c>
      <c r="CV9" s="40">
        <f>-M89</f>
        <v>-66389.95443963956</v>
      </c>
      <c r="CW9" s="51"/>
    </row>
    <row r="10" spans="2:113" s="69" customFormat="1" ht="12.75">
      <c r="B10" s="65"/>
      <c r="C10" s="65"/>
      <c r="D10" s="59"/>
      <c r="E10" s="50"/>
      <c r="F10" s="60"/>
      <c r="G10" s="61"/>
      <c r="H10" s="61"/>
      <c r="I10" s="51"/>
      <c r="J10" s="51"/>
      <c r="K10" s="51"/>
      <c r="L10" s="51"/>
      <c r="M10" s="55"/>
      <c r="N10" s="55"/>
      <c r="O10" s="66"/>
      <c r="P10" s="55"/>
      <c r="Q10" s="113" t="s">
        <v>41</v>
      </c>
      <c r="R10" s="14">
        <v>1</v>
      </c>
      <c r="S10" s="5">
        <v>0.92</v>
      </c>
      <c r="T10" s="5">
        <f>0.92*S10</f>
        <v>0.8464</v>
      </c>
      <c r="U10" s="5">
        <f>0.92*T10</f>
        <v>0.778688</v>
      </c>
      <c r="V10" s="5">
        <f aca="true" t="shared" si="7" ref="V10:AA10">0.92*U10</f>
        <v>0.7163929600000001</v>
      </c>
      <c r="W10" s="5">
        <f t="shared" si="7"/>
        <v>0.6590815232000001</v>
      </c>
      <c r="X10" s="5">
        <f t="shared" si="7"/>
        <v>0.6063550013440001</v>
      </c>
      <c r="Y10" s="5">
        <f t="shared" si="7"/>
        <v>0.5578466012364801</v>
      </c>
      <c r="Z10" s="5">
        <f t="shared" si="7"/>
        <v>0.5132188731375618</v>
      </c>
      <c r="AA10" s="5">
        <f t="shared" si="7"/>
        <v>0.47216136328655683</v>
      </c>
      <c r="AB10" s="5">
        <f>0.92*AA10</f>
        <v>0.4343884542236323</v>
      </c>
      <c r="AC10" s="5">
        <f aca="true" t="shared" si="8" ref="AC10:AP10">0.92*AB10</f>
        <v>0.3996373778857418</v>
      </c>
      <c r="AD10" s="5">
        <f t="shared" si="8"/>
        <v>0.36766638765488246</v>
      </c>
      <c r="AE10" s="5">
        <f t="shared" si="8"/>
        <v>0.3382530766424919</v>
      </c>
      <c r="AF10" s="5">
        <f t="shared" si="8"/>
        <v>0.31119283051109253</v>
      </c>
      <c r="AG10" s="5">
        <f t="shared" si="8"/>
        <v>0.28629740407020515</v>
      </c>
      <c r="AH10" s="5">
        <f t="shared" si="8"/>
        <v>0.26339361174458875</v>
      </c>
      <c r="AI10" s="5">
        <f t="shared" si="8"/>
        <v>0.24232212280502166</v>
      </c>
      <c r="AJ10" s="5">
        <f t="shared" si="8"/>
        <v>0.22293635298061995</v>
      </c>
      <c r="AK10" s="5">
        <f t="shared" si="8"/>
        <v>0.20510144474217037</v>
      </c>
      <c r="AL10" s="5">
        <f t="shared" si="8"/>
        <v>0.18869332916279674</v>
      </c>
      <c r="AM10" s="5">
        <f t="shared" si="8"/>
        <v>0.17359786282977302</v>
      </c>
      <c r="AN10" s="5">
        <f t="shared" si="8"/>
        <v>0.1597100338033912</v>
      </c>
      <c r="AO10" s="5">
        <f t="shared" si="8"/>
        <v>0.1469332310991199</v>
      </c>
      <c r="AP10" s="10">
        <f t="shared" si="8"/>
        <v>0.13517857261119032</v>
      </c>
      <c r="AQ10" s="67"/>
      <c r="AR10" s="68"/>
      <c r="AS10" s="55"/>
      <c r="AT10" s="113" t="s">
        <v>41</v>
      </c>
      <c r="AU10" s="14">
        <v>1</v>
      </c>
      <c r="AV10" s="5">
        <v>0.92</v>
      </c>
      <c r="AW10" s="5">
        <f>0.92*AV10</f>
        <v>0.8464</v>
      </c>
      <c r="AX10" s="5">
        <f>0.92*AW10</f>
        <v>0.778688</v>
      </c>
      <c r="AY10" s="5">
        <f aca="true" t="shared" si="9" ref="AY10:BD10">0.92*AX10</f>
        <v>0.7163929600000001</v>
      </c>
      <c r="AZ10" s="5">
        <f t="shared" si="9"/>
        <v>0.6590815232000001</v>
      </c>
      <c r="BA10" s="5">
        <f t="shared" si="9"/>
        <v>0.6063550013440001</v>
      </c>
      <c r="BB10" s="5">
        <f t="shared" si="9"/>
        <v>0.5578466012364801</v>
      </c>
      <c r="BC10" s="5">
        <f t="shared" si="9"/>
        <v>0.5132188731375618</v>
      </c>
      <c r="BD10" s="5">
        <f t="shared" si="9"/>
        <v>0.47216136328655683</v>
      </c>
      <c r="BE10" s="3">
        <f>0.92*BD10</f>
        <v>0.4343884542236323</v>
      </c>
      <c r="BF10" s="3">
        <f aca="true" t="shared" si="10" ref="BF10:BS10">0.92*BE10</f>
        <v>0.3996373778857418</v>
      </c>
      <c r="BG10" s="3">
        <f t="shared" si="10"/>
        <v>0.36766638765488246</v>
      </c>
      <c r="BH10" s="3">
        <f t="shared" si="10"/>
        <v>0.3382530766424919</v>
      </c>
      <c r="BI10" s="3">
        <f t="shared" si="10"/>
        <v>0.31119283051109253</v>
      </c>
      <c r="BJ10" s="3">
        <f t="shared" si="10"/>
        <v>0.28629740407020515</v>
      </c>
      <c r="BK10" s="3">
        <f t="shared" si="10"/>
        <v>0.26339361174458875</v>
      </c>
      <c r="BL10" s="3">
        <f t="shared" si="10"/>
        <v>0.24232212280502166</v>
      </c>
      <c r="BM10" s="3">
        <f t="shared" si="10"/>
        <v>0.22293635298061995</v>
      </c>
      <c r="BN10" s="3">
        <f t="shared" si="10"/>
        <v>0.20510144474217037</v>
      </c>
      <c r="BO10" s="3">
        <f t="shared" si="10"/>
        <v>0.18869332916279674</v>
      </c>
      <c r="BP10" s="3">
        <f t="shared" si="10"/>
        <v>0.17359786282977302</v>
      </c>
      <c r="BQ10" s="3">
        <f t="shared" si="10"/>
        <v>0.1597100338033912</v>
      </c>
      <c r="BR10" s="3">
        <f t="shared" si="10"/>
        <v>0.1469332310991199</v>
      </c>
      <c r="BS10" s="4">
        <f t="shared" si="10"/>
        <v>0.13517857261119032</v>
      </c>
      <c r="BT10" s="67"/>
      <c r="BU10" s="68"/>
      <c r="BV10" s="55"/>
      <c r="BW10" s="113" t="s">
        <v>42</v>
      </c>
      <c r="BX10" s="6">
        <f>SUM(BX6:BX9)</f>
        <v>-108049.36483188524</v>
      </c>
      <c r="BY10" s="11">
        <f aca="true" t="shared" si="11" ref="BY10:CV10">SUM(BY6:BY9)</f>
        <v>-26700.558681239818</v>
      </c>
      <c r="BZ10" s="11">
        <f t="shared" si="11"/>
        <v>-27192.75020495987</v>
      </c>
      <c r="CA10" s="11">
        <f t="shared" si="11"/>
        <v>-27689.129721159534</v>
      </c>
      <c r="CB10" s="11">
        <f t="shared" si="11"/>
        <v>-28189.69722983958</v>
      </c>
      <c r="CC10" s="11">
        <f t="shared" si="11"/>
        <v>-28694.452730999627</v>
      </c>
      <c r="CD10" s="11">
        <f t="shared" si="11"/>
        <v>-29203.39622463958</v>
      </c>
      <c r="CE10" s="11">
        <f t="shared" si="11"/>
        <v>-29716.527710759627</v>
      </c>
      <c r="CF10" s="11">
        <f t="shared" si="11"/>
        <v>-30233.84718935968</v>
      </c>
      <c r="CG10" s="11">
        <f t="shared" si="11"/>
        <v>-30755.35466043973</v>
      </c>
      <c r="CH10" s="11">
        <f t="shared" si="11"/>
        <v>-31281.050123999783</v>
      </c>
      <c r="CI10" s="11">
        <f t="shared" si="11"/>
        <v>-33640.53760243987</v>
      </c>
      <c r="CJ10" s="11">
        <f t="shared" si="11"/>
        <v>-36055.470213159766</v>
      </c>
      <c r="CK10" s="11">
        <f t="shared" si="11"/>
        <v>-38520.08606615977</v>
      </c>
      <c r="CL10" s="11">
        <f t="shared" si="11"/>
        <v>-41034.38516143978</v>
      </c>
      <c r="CM10" s="11">
        <f t="shared" si="11"/>
        <v>-43598.36749899978</v>
      </c>
      <c r="CN10" s="11">
        <f t="shared" si="11"/>
        <v>-46212.0330788398</v>
      </c>
      <c r="CO10" s="11">
        <f t="shared" si="11"/>
        <v>-48875.381900959655</v>
      </c>
      <c r="CP10" s="11">
        <f t="shared" si="11"/>
        <v>-51588.413965359665</v>
      </c>
      <c r="CQ10" s="11">
        <f t="shared" si="11"/>
        <v>-54351.12927203966</v>
      </c>
      <c r="CR10" s="11">
        <f t="shared" si="11"/>
        <v>-57163.52782099969</v>
      </c>
      <c r="CS10" s="11">
        <f t="shared" si="11"/>
        <v>-60025.6096122397</v>
      </c>
      <c r="CT10" s="11">
        <f t="shared" si="11"/>
        <v>-62937.374645759526</v>
      </c>
      <c r="CU10" s="11">
        <f t="shared" si="11"/>
        <v>-65898.82292155953</v>
      </c>
      <c r="CV10" s="7">
        <f t="shared" si="11"/>
        <v>-68909.95443963956</v>
      </c>
      <c r="CW10" s="67"/>
      <c r="CX10" s="68"/>
      <c r="DH10" s="67"/>
      <c r="DI10" s="68"/>
    </row>
    <row r="11" spans="2:101" ht="13.5" thickBot="1">
      <c r="B11" s="52" t="s">
        <v>25</v>
      </c>
      <c r="C11" s="65"/>
      <c r="D11" s="59"/>
      <c r="F11" s="60"/>
      <c r="G11" s="61"/>
      <c r="H11" s="61"/>
      <c r="I11" s="51"/>
      <c r="M11" s="70"/>
      <c r="N11" s="70"/>
      <c r="O11" s="71"/>
      <c r="P11" s="70"/>
      <c r="Q11" s="113" t="s">
        <v>40</v>
      </c>
      <c r="R11" s="6">
        <f>R10*R9</f>
        <v>-295738.5728000001</v>
      </c>
      <c r="S11" s="11">
        <f aca="true" t="shared" si="12" ref="S11:AB11">S10*S9</f>
        <v>-34879.52925600002</v>
      </c>
      <c r="T11" s="11">
        <f>T10*T9</f>
        <v>-32197.52930688</v>
      </c>
      <c r="U11" s="11">
        <f t="shared" si="12"/>
        <v>-29685.653976639973</v>
      </c>
      <c r="V11" s="11">
        <f t="shared" si="12"/>
        <v>-27336.70943679296</v>
      </c>
      <c r="W11" s="11">
        <f t="shared" si="12"/>
        <v>-25143.335168979804</v>
      </c>
      <c r="X11" s="11">
        <f t="shared" si="12"/>
        <v>-23098.094988241544</v>
      </c>
      <c r="Y11" s="11">
        <f t="shared" si="12"/>
        <v>-21193.55310439047</v>
      </c>
      <c r="Z11" s="11">
        <f t="shared" si="12"/>
        <v>-19422.337150037525</v>
      </c>
      <c r="AA11" s="11">
        <f t="shared" si="12"/>
        <v>-17475.336332522624</v>
      </c>
      <c r="AB11" s="11">
        <f t="shared" si="12"/>
        <v>-15981.270703829205</v>
      </c>
      <c r="AC11" s="11">
        <f aca="true" t="shared" si="13" ref="AC11:AP11">AC10*AC9</f>
        <v>-14595.973496216515</v>
      </c>
      <c r="AD11" s="11">
        <f t="shared" si="13"/>
        <v>-13313.09159101344</v>
      </c>
      <c r="AE11" s="11">
        <f t="shared" si="13"/>
        <v>-12126.472201470662</v>
      </c>
      <c r="AF11" s="11">
        <f t="shared" si="13"/>
        <v>-11030.181166756913</v>
      </c>
      <c r="AG11" s="11">
        <f t="shared" si="13"/>
        <v>-10018.51625505974</v>
      </c>
      <c r="AH11" s="11">
        <f t="shared" si="13"/>
        <v>-9086.0162203402</v>
      </c>
      <c r="AI11" s="11">
        <f t="shared" si="13"/>
        <v>-8227.466265016457</v>
      </c>
      <c r="AJ11" s="11">
        <f t="shared" si="13"/>
        <v>-7437.900478975912</v>
      </c>
      <c r="AK11" s="11">
        <f t="shared" si="13"/>
        <v>-6712.601752754916</v>
      </c>
      <c r="AL11" s="11">
        <f t="shared" si="13"/>
        <v>-6047.09959846933</v>
      </c>
      <c r="AM11" s="11">
        <f t="shared" si="13"/>
        <v>-5437.166255228746</v>
      </c>
      <c r="AN11" s="11">
        <f t="shared" si="13"/>
        <v>-4878.811405542036</v>
      </c>
      <c r="AO11" s="11">
        <f t="shared" si="13"/>
        <v>-4368.275784885121</v>
      </c>
      <c r="AP11" s="7">
        <f t="shared" si="13"/>
        <v>-3902.0239275199056</v>
      </c>
      <c r="AS11" s="70"/>
      <c r="AT11" s="113" t="s">
        <v>40</v>
      </c>
      <c r="AU11" s="6">
        <f aca="true" t="shared" si="14" ref="AU11:BS11">AU10*AU9</f>
        <v>-290961.5038172757</v>
      </c>
      <c r="AV11" s="11">
        <f t="shared" si="14"/>
        <v>-30356.88777841537</v>
      </c>
      <c r="AW11" s="11">
        <f t="shared" si="14"/>
        <v>-27938.890559660464</v>
      </c>
      <c r="AX11" s="11">
        <f t="shared" si="14"/>
        <v>-25696.869680825435</v>
      </c>
      <c r="AY11" s="11">
        <f t="shared" si="14"/>
        <v>-23620.36476538321</v>
      </c>
      <c r="AZ11" s="11">
        <f t="shared" si="14"/>
        <v>-21699.17728486762</v>
      </c>
      <c r="BA11" s="11">
        <f t="shared" si="14"/>
        <v>-19923.431378158028</v>
      </c>
      <c r="BB11" s="11">
        <f t="shared" si="14"/>
        <v>-18283.618868203193</v>
      </c>
      <c r="BC11" s="11">
        <f t="shared" si="14"/>
        <v>-16770.631147821026</v>
      </c>
      <c r="BD11" s="11">
        <f t="shared" si="14"/>
        <v>-15125.564434029668</v>
      </c>
      <c r="BE11" s="11">
        <f t="shared" si="14"/>
        <v>-13866.55549638119</v>
      </c>
      <c r="BF11" s="11">
        <f t="shared" si="14"/>
        <v>-12706.804199483298</v>
      </c>
      <c r="BG11" s="11">
        <f t="shared" si="14"/>
        <v>-11639.24510704573</v>
      </c>
      <c r="BH11" s="11">
        <f t="shared" si="14"/>
        <v>-10657.20708453968</v>
      </c>
      <c r="BI11" s="11">
        <f t="shared" si="14"/>
        <v>-9754.408383032353</v>
      </c>
      <c r="BJ11" s="11">
        <f t="shared" si="14"/>
        <v>-8924.948364839634</v>
      </c>
      <c r="BK11" s="11">
        <f t="shared" si="14"/>
        <v>-8163.29663898482</v>
      </c>
      <c r="BL11" s="11">
        <f t="shared" si="14"/>
        <v>-7464.280248942022</v>
      </c>
      <c r="BM11" s="11">
        <f t="shared" si="14"/>
        <v>-6823.069447655485</v>
      </c>
      <c r="BN11" s="11">
        <f t="shared" si="14"/>
        <v>-6235.162503000328</v>
      </c>
      <c r="BO11" s="11">
        <f t="shared" si="14"/>
        <v>-5696.369898539304</v>
      </c>
      <c r="BP11" s="11">
        <f t="shared" si="14"/>
        <v>-5202.798227777374</v>
      </c>
      <c r="BQ11" s="11">
        <f t="shared" si="14"/>
        <v>-4750.834023548928</v>
      </c>
      <c r="BR11" s="11">
        <f t="shared" si="14"/>
        <v>-4337.127716280497</v>
      </c>
      <c r="BS11" s="7">
        <f t="shared" si="14"/>
        <v>-3958.577874443865</v>
      </c>
      <c r="BT11" s="51"/>
      <c r="BV11" s="70"/>
      <c r="BW11" s="113" t="s">
        <v>41</v>
      </c>
      <c r="BX11" s="14">
        <v>1</v>
      </c>
      <c r="BY11" s="5">
        <v>0.92</v>
      </c>
      <c r="BZ11" s="5">
        <f>0.92*BY11</f>
        <v>0.8464</v>
      </c>
      <c r="CA11" s="5">
        <f>0.92*BZ11</f>
        <v>0.778688</v>
      </c>
      <c r="CB11" s="5">
        <f aca="true" t="shared" si="15" ref="CB11:CG11">0.92*CA11</f>
        <v>0.7163929600000001</v>
      </c>
      <c r="CC11" s="5">
        <f t="shared" si="15"/>
        <v>0.6590815232000001</v>
      </c>
      <c r="CD11" s="5">
        <f t="shared" si="15"/>
        <v>0.6063550013440001</v>
      </c>
      <c r="CE11" s="5">
        <f t="shared" si="15"/>
        <v>0.5578466012364801</v>
      </c>
      <c r="CF11" s="5">
        <f t="shared" si="15"/>
        <v>0.5132188731375618</v>
      </c>
      <c r="CG11" s="5">
        <f t="shared" si="15"/>
        <v>0.47216136328655683</v>
      </c>
      <c r="CH11" s="3">
        <f>0.92*CG11</f>
        <v>0.4343884542236323</v>
      </c>
      <c r="CI11" s="3">
        <f aca="true" t="shared" si="16" ref="CI11:CV11">0.92*CH11</f>
        <v>0.3996373778857418</v>
      </c>
      <c r="CJ11" s="3">
        <f t="shared" si="16"/>
        <v>0.36766638765488246</v>
      </c>
      <c r="CK11" s="3">
        <f t="shared" si="16"/>
        <v>0.3382530766424919</v>
      </c>
      <c r="CL11" s="3">
        <f t="shared" si="16"/>
        <v>0.31119283051109253</v>
      </c>
      <c r="CM11" s="3">
        <f t="shared" si="16"/>
        <v>0.28629740407020515</v>
      </c>
      <c r="CN11" s="3">
        <f t="shared" si="16"/>
        <v>0.26339361174458875</v>
      </c>
      <c r="CO11" s="3">
        <f t="shared" si="16"/>
        <v>0.24232212280502166</v>
      </c>
      <c r="CP11" s="3">
        <f t="shared" si="16"/>
        <v>0.22293635298061995</v>
      </c>
      <c r="CQ11" s="3">
        <f t="shared" si="16"/>
        <v>0.20510144474217037</v>
      </c>
      <c r="CR11" s="3">
        <f t="shared" si="16"/>
        <v>0.18869332916279674</v>
      </c>
      <c r="CS11" s="3">
        <f t="shared" si="16"/>
        <v>0.17359786282977302</v>
      </c>
      <c r="CT11" s="3">
        <f t="shared" si="16"/>
        <v>0.1597100338033912</v>
      </c>
      <c r="CU11" s="3">
        <f t="shared" si="16"/>
        <v>0.1469332310991199</v>
      </c>
      <c r="CV11" s="4">
        <f t="shared" si="16"/>
        <v>0.13517857261119032</v>
      </c>
      <c r="CW11" s="51"/>
    </row>
    <row r="12" spans="2:101" ht="13.5" thickBot="1">
      <c r="B12" s="51"/>
      <c r="C12" s="177" t="s">
        <v>12</v>
      </c>
      <c r="D12" s="178"/>
      <c r="E12" s="178"/>
      <c r="F12" s="178"/>
      <c r="G12" s="178"/>
      <c r="H12" s="179"/>
      <c r="I12" s="51"/>
      <c r="M12" s="70"/>
      <c r="N12" s="70"/>
      <c r="O12" s="71"/>
      <c r="P12" s="70"/>
      <c r="Q12" s="114" t="s">
        <v>39</v>
      </c>
      <c r="R12" s="6">
        <f>R11</f>
        <v>-295738.5728000001</v>
      </c>
      <c r="S12" s="11">
        <f>R12+S11</f>
        <v>-330618.1020560001</v>
      </c>
      <c r="T12" s="11">
        <f aca="true" t="shared" si="17" ref="T12:AB12">S12+T11</f>
        <v>-362815.6313628801</v>
      </c>
      <c r="U12" s="11">
        <f>T12+U11</f>
        <v>-392501.2853395201</v>
      </c>
      <c r="V12" s="11">
        <f t="shared" si="17"/>
        <v>-419837.994776313</v>
      </c>
      <c r="W12" s="11">
        <f t="shared" si="17"/>
        <v>-444981.32994529285</v>
      </c>
      <c r="X12" s="11">
        <f t="shared" si="17"/>
        <v>-468079.4249335344</v>
      </c>
      <c r="Y12" s="11">
        <f t="shared" si="17"/>
        <v>-489272.97803792486</v>
      </c>
      <c r="Z12" s="11">
        <f t="shared" si="17"/>
        <v>-508695.3151879624</v>
      </c>
      <c r="AA12" s="11">
        <f t="shared" si="17"/>
        <v>-526170.6515204851</v>
      </c>
      <c r="AB12" s="11">
        <f t="shared" si="17"/>
        <v>-542151.9222243143</v>
      </c>
      <c r="AC12" s="11">
        <f aca="true" t="shared" si="18" ref="AC12:AP12">AB12+AC11</f>
        <v>-556747.8957205308</v>
      </c>
      <c r="AD12" s="11">
        <f t="shared" si="18"/>
        <v>-570060.9873115442</v>
      </c>
      <c r="AE12" s="11">
        <f t="shared" si="18"/>
        <v>-582187.4595130149</v>
      </c>
      <c r="AF12" s="11">
        <f t="shared" si="18"/>
        <v>-593217.6406797718</v>
      </c>
      <c r="AG12" s="11">
        <f t="shared" si="18"/>
        <v>-603236.1569348315</v>
      </c>
      <c r="AH12" s="11">
        <f t="shared" si="18"/>
        <v>-612322.1731551717</v>
      </c>
      <c r="AI12" s="11">
        <f t="shared" si="18"/>
        <v>-620549.6394201881</v>
      </c>
      <c r="AJ12" s="11">
        <f t="shared" si="18"/>
        <v>-627987.5398991641</v>
      </c>
      <c r="AK12" s="11">
        <f t="shared" si="18"/>
        <v>-634700.141651919</v>
      </c>
      <c r="AL12" s="11">
        <f t="shared" si="18"/>
        <v>-640747.2412503883</v>
      </c>
      <c r="AM12" s="11">
        <f t="shared" si="18"/>
        <v>-646184.4075056171</v>
      </c>
      <c r="AN12" s="11">
        <f t="shared" si="18"/>
        <v>-651063.2189111592</v>
      </c>
      <c r="AO12" s="11">
        <f t="shared" si="18"/>
        <v>-655431.4946960444</v>
      </c>
      <c r="AP12" s="7">
        <f t="shared" si="18"/>
        <v>-659333.5186235643</v>
      </c>
      <c r="AS12" s="70"/>
      <c r="AT12" s="114" t="s">
        <v>39</v>
      </c>
      <c r="AU12" s="6">
        <f>AU11</f>
        <v>-290961.5038172757</v>
      </c>
      <c r="AV12" s="11">
        <f aca="true" t="shared" si="19" ref="AV12:BS12">AU12+AV11</f>
        <v>-321318.39159569104</v>
      </c>
      <c r="AW12" s="11">
        <f t="shared" si="19"/>
        <v>-349257.2821553515</v>
      </c>
      <c r="AX12" s="11">
        <f t="shared" si="19"/>
        <v>-374954.1518361769</v>
      </c>
      <c r="AY12" s="11">
        <f t="shared" si="19"/>
        <v>-398574.5166015601</v>
      </c>
      <c r="AZ12" s="11">
        <f t="shared" si="19"/>
        <v>-420273.69388642773</v>
      </c>
      <c r="BA12" s="11">
        <f t="shared" si="19"/>
        <v>-440197.1252645858</v>
      </c>
      <c r="BB12" s="11">
        <f t="shared" si="19"/>
        <v>-458480.74413278897</v>
      </c>
      <c r="BC12" s="11">
        <f t="shared" si="19"/>
        <v>-475251.37528061</v>
      </c>
      <c r="BD12" s="11">
        <f t="shared" si="19"/>
        <v>-490376.9397146397</v>
      </c>
      <c r="BE12" s="11">
        <f t="shared" si="19"/>
        <v>-504243.49521102087</v>
      </c>
      <c r="BF12" s="11">
        <f t="shared" si="19"/>
        <v>-516950.2994105042</v>
      </c>
      <c r="BG12" s="11">
        <f t="shared" si="19"/>
        <v>-528589.5445175499</v>
      </c>
      <c r="BH12" s="11">
        <f t="shared" si="19"/>
        <v>-539246.7516020896</v>
      </c>
      <c r="BI12" s="11">
        <f t="shared" si="19"/>
        <v>-549001.1599851219</v>
      </c>
      <c r="BJ12" s="11">
        <f t="shared" si="19"/>
        <v>-557926.1083499616</v>
      </c>
      <c r="BK12" s="11">
        <f t="shared" si="19"/>
        <v>-566089.4049889464</v>
      </c>
      <c r="BL12" s="11">
        <f t="shared" si="19"/>
        <v>-573553.6852378884</v>
      </c>
      <c r="BM12" s="11">
        <f t="shared" si="19"/>
        <v>-580376.7546855438</v>
      </c>
      <c r="BN12" s="11">
        <f t="shared" si="19"/>
        <v>-586611.9171885442</v>
      </c>
      <c r="BO12" s="11">
        <f t="shared" si="19"/>
        <v>-592308.2870870834</v>
      </c>
      <c r="BP12" s="11">
        <f t="shared" si="19"/>
        <v>-597511.0853148608</v>
      </c>
      <c r="BQ12" s="11">
        <f t="shared" si="19"/>
        <v>-602261.9193384097</v>
      </c>
      <c r="BR12" s="11">
        <f t="shared" si="19"/>
        <v>-606599.0470546902</v>
      </c>
      <c r="BS12" s="7">
        <f t="shared" si="19"/>
        <v>-610557.624929134</v>
      </c>
      <c r="BT12" s="51"/>
      <c r="BV12" s="70"/>
      <c r="BW12" s="113" t="s">
        <v>40</v>
      </c>
      <c r="BX12" s="6">
        <f aca="true" t="shared" si="20" ref="BX12:CV12">BX11*BX10</f>
        <v>-108049.36483188524</v>
      </c>
      <c r="BY12" s="11">
        <f t="shared" si="20"/>
        <v>-24564.513986740632</v>
      </c>
      <c r="BZ12" s="11">
        <f t="shared" si="20"/>
        <v>-23015.943773478033</v>
      </c>
      <c r="CA12" s="11">
        <f t="shared" si="20"/>
        <v>-21561.193044310276</v>
      </c>
      <c r="CB12" s="11">
        <f t="shared" si="20"/>
        <v>-20194.90063998858</v>
      </c>
      <c r="CC12" s="11">
        <f t="shared" si="20"/>
        <v>-18911.983613337638</v>
      </c>
      <c r="CD12" s="11">
        <f t="shared" si="20"/>
        <v>-17707.6253570407</v>
      </c>
      <c r="CE12" s="11">
        <f t="shared" si="20"/>
        <v>-16577.263983996938</v>
      </c>
      <c r="CF12" s="11">
        <f t="shared" si="20"/>
        <v>-15516.580985136414</v>
      </c>
      <c r="CG12" s="11">
        <f t="shared" si="20"/>
        <v>-14521.490184834782</v>
      </c>
      <c r="CH12" s="11">
        <f t="shared" si="20"/>
        <v>-13588.127009856227</v>
      </c>
      <c r="CI12" s="11">
        <f t="shared" si="20"/>
        <v>-13444.016238105769</v>
      </c>
      <c r="CJ12" s="11">
        <f t="shared" si="20"/>
        <v>-13256.384488470667</v>
      </c>
      <c r="CK12" s="11">
        <f t="shared" si="20"/>
        <v>-13029.537624412123</v>
      </c>
      <c r="CL12" s="11">
        <f t="shared" si="20"/>
        <v>-12769.606466670819</v>
      </c>
      <c r="CM12" s="11">
        <f t="shared" si="20"/>
        <v>-12482.09943666244</v>
      </c>
      <c r="CN12" s="11">
        <f t="shared" si="20"/>
        <v>-12171.954298696022</v>
      </c>
      <c r="CO12" s="11">
        <f t="shared" si="20"/>
        <v>-11843.586295146679</v>
      </c>
      <c r="CP12" s="11">
        <f t="shared" si="20"/>
        <v>-11500.932865491766</v>
      </c>
      <c r="CQ12" s="11">
        <f t="shared" si="20"/>
        <v>-11147.495137063801</v>
      </c>
      <c r="CR12" s="11">
        <f t="shared" si="20"/>
        <v>-10786.376371234584</v>
      </c>
      <c r="CS12" s="11">
        <f t="shared" si="20"/>
        <v>-10420.317543739093</v>
      </c>
      <c r="CT12" s="11">
        <f t="shared" si="20"/>
        <v>-10051.73023217095</v>
      </c>
      <c r="CU12" s="11">
        <f t="shared" si="20"/>
        <v>-9682.726977493487</v>
      </c>
      <c r="CV12" s="7">
        <f t="shared" si="20"/>
        <v>-9315.149279852634</v>
      </c>
      <c r="CW12" s="51"/>
    </row>
    <row r="13" spans="2:101" ht="15.75" thickBot="1">
      <c r="B13" s="1"/>
      <c r="C13" s="181" t="s">
        <v>3</v>
      </c>
      <c r="D13" s="182"/>
      <c r="E13" s="181" t="s">
        <v>4</v>
      </c>
      <c r="F13" s="182"/>
      <c r="G13" s="182"/>
      <c r="H13" s="183"/>
      <c r="I13" s="51"/>
      <c r="M13" s="70"/>
      <c r="N13" s="70"/>
      <c r="O13" s="71"/>
      <c r="P13" s="70"/>
      <c r="Q13" s="111" t="s">
        <v>11</v>
      </c>
      <c r="R13" s="44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3"/>
      <c r="AS13" s="70"/>
      <c r="AT13" s="111" t="s">
        <v>11</v>
      </c>
      <c r="AU13" s="44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3"/>
      <c r="BT13" s="51"/>
      <c r="BV13" s="70"/>
      <c r="BW13" s="114" t="s">
        <v>39</v>
      </c>
      <c r="BX13" s="6">
        <f>BX12</f>
        <v>-108049.36483188524</v>
      </c>
      <c r="BY13" s="11">
        <f aca="true" t="shared" si="21" ref="BY13:CV13">BX13+BY12</f>
        <v>-132613.87881862588</v>
      </c>
      <c r="BZ13" s="11">
        <f t="shared" si="21"/>
        <v>-155629.8225921039</v>
      </c>
      <c r="CA13" s="11">
        <f t="shared" si="21"/>
        <v>-177191.01563641417</v>
      </c>
      <c r="CB13" s="11">
        <f t="shared" si="21"/>
        <v>-197385.91627640274</v>
      </c>
      <c r="CC13" s="11">
        <f t="shared" si="21"/>
        <v>-216297.8998897404</v>
      </c>
      <c r="CD13" s="11">
        <f t="shared" si="21"/>
        <v>-234005.5252467811</v>
      </c>
      <c r="CE13" s="11">
        <f t="shared" si="21"/>
        <v>-250582.78923077803</v>
      </c>
      <c r="CF13" s="11">
        <f t="shared" si="21"/>
        <v>-266099.37021591444</v>
      </c>
      <c r="CG13" s="11">
        <f t="shared" si="21"/>
        <v>-280620.86040074925</v>
      </c>
      <c r="CH13" s="11">
        <f t="shared" si="21"/>
        <v>-294208.9874106055</v>
      </c>
      <c r="CI13" s="11">
        <f t="shared" si="21"/>
        <v>-307653.00364871125</v>
      </c>
      <c r="CJ13" s="11">
        <f t="shared" si="21"/>
        <v>-320909.38813718193</v>
      </c>
      <c r="CK13" s="11">
        <f t="shared" si="21"/>
        <v>-333938.92576159403</v>
      </c>
      <c r="CL13" s="11">
        <f t="shared" si="21"/>
        <v>-346708.53222826484</v>
      </c>
      <c r="CM13" s="11">
        <f t="shared" si="21"/>
        <v>-359190.6316649273</v>
      </c>
      <c r="CN13" s="11">
        <f t="shared" si="21"/>
        <v>-371362.5859636233</v>
      </c>
      <c r="CO13" s="11">
        <f t="shared" si="21"/>
        <v>-383206.17225877</v>
      </c>
      <c r="CP13" s="11">
        <f t="shared" si="21"/>
        <v>-394707.10512426175</v>
      </c>
      <c r="CQ13" s="11">
        <f t="shared" si="21"/>
        <v>-405854.60026132554</v>
      </c>
      <c r="CR13" s="11">
        <f t="shared" si="21"/>
        <v>-416640.97663256014</v>
      </c>
      <c r="CS13" s="11">
        <f t="shared" si="21"/>
        <v>-427061.29417629924</v>
      </c>
      <c r="CT13" s="11">
        <f t="shared" si="21"/>
        <v>-437113.0244084702</v>
      </c>
      <c r="CU13" s="11">
        <f t="shared" si="21"/>
        <v>-446795.7513859637</v>
      </c>
      <c r="CV13" s="7">
        <f t="shared" si="21"/>
        <v>-456110.9006658163</v>
      </c>
      <c r="CW13" s="51"/>
    </row>
    <row r="14" spans="2:101" ht="15.75" thickBot="1">
      <c r="B14" s="21" t="s">
        <v>26</v>
      </c>
      <c r="C14" s="24">
        <v>15</v>
      </c>
      <c r="D14" s="30">
        <v>100</v>
      </c>
      <c r="E14" s="24">
        <v>0</v>
      </c>
      <c r="F14" s="25">
        <v>4</v>
      </c>
      <c r="G14" s="25">
        <v>10</v>
      </c>
      <c r="H14" s="26">
        <v>50</v>
      </c>
      <c r="I14" s="51"/>
      <c r="Q14" s="112" t="s">
        <v>77</v>
      </c>
      <c r="R14" s="45">
        <f>D27</f>
        <v>73743.17212000013</v>
      </c>
      <c r="S14" s="5">
        <f>D28</f>
        <v>76503.32913000004</v>
      </c>
      <c r="T14" s="5">
        <f>D29</f>
        <v>79263.48613999996</v>
      </c>
      <c r="U14" s="5">
        <f>D30</f>
        <v>82023.64314999984</v>
      </c>
      <c r="V14" s="5">
        <f>D31</f>
        <v>84783.80016000019</v>
      </c>
      <c r="W14" s="5">
        <f>D32</f>
        <v>87543.95717000066</v>
      </c>
      <c r="X14" s="5">
        <f>D33</f>
        <v>90304.11418000056</v>
      </c>
      <c r="Y14" s="5">
        <f>D34</f>
        <v>93064.27119000048</v>
      </c>
      <c r="Z14" s="5">
        <f>D35</f>
        <v>95824.42820000037</v>
      </c>
      <c r="AA14" s="5">
        <f>D36</f>
        <v>97328.57180320012</v>
      </c>
      <c r="AB14" s="5">
        <f>D37</f>
        <v>100084.85079533668</v>
      </c>
      <c r="AC14" s="5">
        <f>+D38</f>
        <v>102840.4269551959</v>
      </c>
      <c r="AD14" s="5">
        <f>+D39</f>
        <v>105595.30097779595</v>
      </c>
      <c r="AE14" s="5">
        <f>+D40</f>
        <v>108349.47355711836</v>
      </c>
      <c r="AF14" s="5">
        <f>+D41</f>
        <v>111102.94538611785</v>
      </c>
      <c r="AG14" s="5">
        <f>+D42</f>
        <v>113855.7171567255</v>
      </c>
      <c r="AH14" s="5">
        <f>+D43</f>
        <v>116607.78955984232</v>
      </c>
      <c r="AI14" s="5">
        <f>+D44</f>
        <v>119359.16328534896</v>
      </c>
      <c r="AJ14" s="5">
        <f>+D45</f>
        <v>122109.83902211215</v>
      </c>
      <c r="AK14" s="5">
        <f>+D46</f>
        <v>124859.81745797172</v>
      </c>
      <c r="AL14" s="5">
        <f>+D47</f>
        <v>127609.0992797537</v>
      </c>
      <c r="AM14" s="5">
        <f>+D48</f>
        <v>130357.68517327015</v>
      </c>
      <c r="AN14" s="5">
        <f>+D49</f>
        <v>133105.5758233225</v>
      </c>
      <c r="AO14" s="5">
        <f>+D50</f>
        <v>135852.7719137015</v>
      </c>
      <c r="AP14" s="10">
        <f>+D51</f>
        <v>138599.27412719053</v>
      </c>
      <c r="AS14" s="51"/>
      <c r="AT14" s="112" t="s">
        <v>77</v>
      </c>
      <c r="AU14" s="45">
        <f>G27</f>
        <v>45588.90880000024</v>
      </c>
      <c r="AV14" s="5">
        <f>+G28</f>
        <v>47013.56220000015</v>
      </c>
      <c r="AW14" s="5">
        <f>+G29</f>
        <v>48438.21560000008</v>
      </c>
      <c r="AX14" s="5">
        <f>+G30</f>
        <v>49862.86899999999</v>
      </c>
      <c r="AY14" s="5">
        <f>+G31</f>
        <v>51287.52240000032</v>
      </c>
      <c r="AZ14" s="5">
        <f>+G32</f>
        <v>52712.175800000245</v>
      </c>
      <c r="BA14" s="5">
        <f>+G33</f>
        <v>54136.82920000016</v>
      </c>
      <c r="BB14" s="5">
        <f>+G34</f>
        <v>55561.48260000008</v>
      </c>
      <c r="BC14" s="5">
        <f>+G35</f>
        <v>56986.136</v>
      </c>
      <c r="BD14" s="5">
        <f>+G36</f>
        <v>57154.77599319973</v>
      </c>
      <c r="BE14" s="3">
        <f>+G37</f>
        <v>58575.55137533631</v>
      </c>
      <c r="BF14" s="3">
        <f>+G38</f>
        <v>59995.62392519555</v>
      </c>
      <c r="BG14" s="3">
        <f>+G39</f>
        <v>61414.9943377956</v>
      </c>
      <c r="BH14" s="3">
        <f>+G40</f>
        <v>62833.66330711802</v>
      </c>
      <c r="BI14" s="3">
        <f>+G41</f>
        <v>64251.63152611751</v>
      </c>
      <c r="BJ14" s="3">
        <f>+G42</f>
        <v>65668.89968672517</v>
      </c>
      <c r="BK14" s="3">
        <f>+G43</f>
        <v>67085.468479842</v>
      </c>
      <c r="BL14" s="3">
        <f>+G44</f>
        <v>68501.33859534866</v>
      </c>
      <c r="BM14" s="3">
        <f>+G45</f>
        <v>69916.51072211185</v>
      </c>
      <c r="BN14" s="3">
        <f>+G46</f>
        <v>71330.98554797143</v>
      </c>
      <c r="BO14" s="3">
        <f>+G47</f>
        <v>72744.76375975342</v>
      </c>
      <c r="BP14" s="3">
        <f>+G48</f>
        <v>74157.84604326988</v>
      </c>
      <c r="BQ14" s="3">
        <f>+G49</f>
        <v>75570.23308332222</v>
      </c>
      <c r="BR14" s="3">
        <f>+G50</f>
        <v>76981.92556370125</v>
      </c>
      <c r="BS14" s="4">
        <f>+G51</f>
        <v>78392.92416719029</v>
      </c>
      <c r="BT14" s="51"/>
      <c r="BV14" s="51"/>
      <c r="BW14" s="111" t="s">
        <v>11</v>
      </c>
      <c r="BX14" s="44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3"/>
      <c r="CW14" s="51"/>
    </row>
    <row r="15" spans="2:101" ht="15.75" thickBot="1">
      <c r="B15" s="22" t="s">
        <v>27</v>
      </c>
      <c r="C15" s="27">
        <v>100</v>
      </c>
      <c r="D15" s="31">
        <v>500</v>
      </c>
      <c r="E15" s="27">
        <v>4</v>
      </c>
      <c r="F15" s="28">
        <v>10</v>
      </c>
      <c r="G15" s="28">
        <v>50</v>
      </c>
      <c r="H15" s="29">
        <v>150</v>
      </c>
      <c r="I15" s="51"/>
      <c r="Q15" s="113" t="s">
        <v>10</v>
      </c>
      <c r="R15" s="45">
        <v>1</v>
      </c>
      <c r="S15" s="5">
        <v>0.92</v>
      </c>
      <c r="T15" s="5">
        <v>0.8464</v>
      </c>
      <c r="U15" s="5">
        <v>0.778688</v>
      </c>
      <c r="V15" s="5">
        <v>0.7163929600000001</v>
      </c>
      <c r="W15" s="5">
        <v>0.6590815232000001</v>
      </c>
      <c r="X15" s="5">
        <v>0.6063550013440001</v>
      </c>
      <c r="Y15" s="5">
        <v>0.5578466012364801</v>
      </c>
      <c r="Z15" s="5">
        <v>0.5132188731375618</v>
      </c>
      <c r="AA15" s="5">
        <v>0.47216136328655683</v>
      </c>
      <c r="AB15" s="5">
        <f>AB10</f>
        <v>0.4343884542236323</v>
      </c>
      <c r="AC15" s="5">
        <f aca="true" t="shared" si="22" ref="AC15:AP15">AC10</f>
        <v>0.3996373778857418</v>
      </c>
      <c r="AD15" s="5">
        <f t="shared" si="22"/>
        <v>0.36766638765488246</v>
      </c>
      <c r="AE15" s="5">
        <f t="shared" si="22"/>
        <v>0.3382530766424919</v>
      </c>
      <c r="AF15" s="5">
        <f t="shared" si="22"/>
        <v>0.31119283051109253</v>
      </c>
      <c r="AG15" s="5">
        <f t="shared" si="22"/>
        <v>0.28629740407020515</v>
      </c>
      <c r="AH15" s="5">
        <f t="shared" si="22"/>
        <v>0.26339361174458875</v>
      </c>
      <c r="AI15" s="5">
        <f t="shared" si="22"/>
        <v>0.24232212280502166</v>
      </c>
      <c r="AJ15" s="5">
        <f t="shared" si="22"/>
        <v>0.22293635298061995</v>
      </c>
      <c r="AK15" s="5">
        <f t="shared" si="22"/>
        <v>0.20510144474217037</v>
      </c>
      <c r="AL15" s="5">
        <f t="shared" si="22"/>
        <v>0.18869332916279674</v>
      </c>
      <c r="AM15" s="5">
        <f t="shared" si="22"/>
        <v>0.17359786282977302</v>
      </c>
      <c r="AN15" s="5">
        <f t="shared" si="22"/>
        <v>0.1597100338033912</v>
      </c>
      <c r="AO15" s="5">
        <f t="shared" si="22"/>
        <v>0.1469332310991199</v>
      </c>
      <c r="AP15" s="10">
        <f t="shared" si="22"/>
        <v>0.13517857261119032</v>
      </c>
      <c r="AS15" s="51"/>
      <c r="AT15" s="113" t="s">
        <v>10</v>
      </c>
      <c r="AU15" s="45">
        <v>1</v>
      </c>
      <c r="AV15" s="5">
        <v>0.92</v>
      </c>
      <c r="AW15" s="5">
        <v>0.8464</v>
      </c>
      <c r="AX15" s="5">
        <v>0.778688</v>
      </c>
      <c r="AY15" s="5">
        <v>0.7163929600000001</v>
      </c>
      <c r="AZ15" s="5">
        <v>0.6590815232000001</v>
      </c>
      <c r="BA15" s="5">
        <v>0.6063550013440001</v>
      </c>
      <c r="BB15" s="5">
        <v>0.5578466012364801</v>
      </c>
      <c r="BC15" s="5">
        <v>0.5132188731375618</v>
      </c>
      <c r="BD15" s="5">
        <v>0.47216136328655683</v>
      </c>
      <c r="BE15" s="3">
        <f>BE10</f>
        <v>0.4343884542236323</v>
      </c>
      <c r="BF15" s="3">
        <f aca="true" t="shared" si="23" ref="BF15:BS15">BF10</f>
        <v>0.3996373778857418</v>
      </c>
      <c r="BG15" s="3">
        <f t="shared" si="23"/>
        <v>0.36766638765488246</v>
      </c>
      <c r="BH15" s="3">
        <f t="shared" si="23"/>
        <v>0.3382530766424919</v>
      </c>
      <c r="BI15" s="3">
        <f t="shared" si="23"/>
        <v>0.31119283051109253</v>
      </c>
      <c r="BJ15" s="3">
        <f t="shared" si="23"/>
        <v>0.28629740407020515</v>
      </c>
      <c r="BK15" s="3">
        <f t="shared" si="23"/>
        <v>0.26339361174458875</v>
      </c>
      <c r="BL15" s="3">
        <f t="shared" si="23"/>
        <v>0.24232212280502166</v>
      </c>
      <c r="BM15" s="3">
        <f t="shared" si="23"/>
        <v>0.22293635298061995</v>
      </c>
      <c r="BN15" s="3">
        <f t="shared" si="23"/>
        <v>0.20510144474217037</v>
      </c>
      <c r="BO15" s="3">
        <f t="shared" si="23"/>
        <v>0.18869332916279674</v>
      </c>
      <c r="BP15" s="3">
        <f t="shared" si="23"/>
        <v>0.17359786282977302</v>
      </c>
      <c r="BQ15" s="3">
        <f t="shared" si="23"/>
        <v>0.1597100338033912</v>
      </c>
      <c r="BR15" s="3">
        <f t="shared" si="23"/>
        <v>0.1469332310991199</v>
      </c>
      <c r="BS15" s="4">
        <f t="shared" si="23"/>
        <v>0.13517857261119032</v>
      </c>
      <c r="BT15" s="51"/>
      <c r="BV15" s="51"/>
      <c r="BW15" s="112" t="s">
        <v>78</v>
      </c>
      <c r="BX15" s="45">
        <v>30725.20982180928</v>
      </c>
      <c r="BY15" s="5">
        <v>31249.457990999912</v>
      </c>
      <c r="BZ15" s="5">
        <v>31691.539931999938</v>
      </c>
      <c r="CA15" s="5">
        <v>32133.62187299996</v>
      </c>
      <c r="CB15" s="5">
        <v>32575.703813999986</v>
      </c>
      <c r="CC15" s="5">
        <v>33017.785755000004</v>
      </c>
      <c r="CD15" s="5">
        <v>33459.86769599991</v>
      </c>
      <c r="CE15" s="5">
        <v>33901.94963699993</v>
      </c>
      <c r="CF15" s="5">
        <v>34344.03157799996</v>
      </c>
      <c r="CG15" s="5">
        <v>34786.11351899998</v>
      </c>
      <c r="CH15" s="3">
        <v>35228.19546</v>
      </c>
      <c r="CI15" s="3">
        <v>35670.27740100003</v>
      </c>
      <c r="CJ15" s="3">
        <v>36112.35934199992</v>
      </c>
      <c r="CK15" s="3">
        <v>36554.44128299995</v>
      </c>
      <c r="CL15" s="3">
        <v>36996.523223999975</v>
      </c>
      <c r="CM15" s="3">
        <v>37438.605165</v>
      </c>
      <c r="CN15" s="3">
        <v>37880.68710600002</v>
      </c>
      <c r="CO15" s="3">
        <v>38322.76904699992</v>
      </c>
      <c r="CP15" s="3">
        <v>38764.85098799994</v>
      </c>
      <c r="CQ15" s="3">
        <v>39206.932928999966</v>
      </c>
      <c r="CR15" s="3">
        <v>39649.01486999999</v>
      </c>
      <c r="CS15" s="3">
        <v>40091.09681100002</v>
      </c>
      <c r="CT15" s="3">
        <v>40533.17875199991</v>
      </c>
      <c r="CU15" s="3">
        <v>40975.26069299994</v>
      </c>
      <c r="CV15" s="4">
        <v>41417.34263399996</v>
      </c>
      <c r="CW15" s="51"/>
    </row>
    <row r="16" spans="2:101" ht="15.75" thickBot="1">
      <c r="B16" s="23" t="s">
        <v>28</v>
      </c>
      <c r="C16" s="93">
        <v>24.2</v>
      </c>
      <c r="D16" s="94">
        <v>19.7</v>
      </c>
      <c r="E16" s="94">
        <v>39.6</v>
      </c>
      <c r="F16" s="94">
        <v>34.6</v>
      </c>
      <c r="G16" s="94">
        <v>30.1</v>
      </c>
      <c r="H16" s="95">
        <v>17.4</v>
      </c>
      <c r="M16" s="59"/>
      <c r="N16" s="59"/>
      <c r="O16" s="74"/>
      <c r="P16" s="59"/>
      <c r="Q16" s="113" t="s">
        <v>43</v>
      </c>
      <c r="R16" s="6">
        <f>R15*R14</f>
        <v>73743.17212000013</v>
      </c>
      <c r="S16" s="11">
        <f aca="true" t="shared" si="24" ref="S16:AB16">S15*S14</f>
        <v>70383.06279960004</v>
      </c>
      <c r="T16" s="11">
        <f t="shared" si="24"/>
        <v>67088.61466889597</v>
      </c>
      <c r="U16" s="11">
        <f t="shared" si="24"/>
        <v>63870.826637187085</v>
      </c>
      <c r="V16" s="11">
        <f t="shared" si="24"/>
        <v>60738.51755667102</v>
      </c>
      <c r="W16" s="11">
        <f t="shared" si="24"/>
        <v>57698.60463855961</v>
      </c>
      <c r="X16" s="11">
        <f t="shared" si="24"/>
        <v>54756.351274982975</v>
      </c>
      <c r="Y16" s="11">
        <f t="shared" si="24"/>
        <v>51915.58737989184</v>
      </c>
      <c r="Z16" s="11">
        <f t="shared" si="24"/>
        <v>49178.90505985539</v>
      </c>
      <c r="AA16" s="11">
        <f t="shared" si="24"/>
        <v>45954.7911493325</v>
      </c>
      <c r="AB16" s="11">
        <f t="shared" si="24"/>
        <v>43475.70362818918</v>
      </c>
      <c r="AC16" s="11">
        <f aca="true" t="shared" si="25" ref="AC16:AP16">AC15*AC14</f>
        <v>41098.87856902465</v>
      </c>
      <c r="AD16" s="11">
        <f t="shared" si="25"/>
        <v>38823.84286383632</v>
      </c>
      <c r="AE16" s="11">
        <f t="shared" si="25"/>
        <v>36649.5427832896</v>
      </c>
      <c r="AF16" s="11">
        <f t="shared" si="25"/>
        <v>34574.44005282534</v>
      </c>
      <c r="AG16" s="11">
        <f t="shared" si="25"/>
        <v>32596.59626052203</v>
      </c>
      <c r="AH16" s="11">
        <f t="shared" si="25"/>
        <v>30713.746849719817</v>
      </c>
      <c r="AI16" s="11">
        <f t="shared" si="25"/>
        <v>28923.365823536962</v>
      </c>
      <c r="AJ16" s="11">
        <f t="shared" si="25"/>
        <v>27222.722174640276</v>
      </c>
      <c r="AK16" s="11">
        <f t="shared" si="25"/>
        <v>25608.928950873666</v>
      </c>
      <c r="AL16" s="11">
        <f t="shared" si="25"/>
        <v>24078.985774562574</v>
      </c>
      <c r="AM16" s="11">
        <f t="shared" si="25"/>
        <v>22629.815549516086</v>
      </c>
      <c r="AN16" s="11">
        <f t="shared" si="25"/>
        <v>21258.296014162683</v>
      </c>
      <c r="AO16" s="11">
        <f t="shared" si="25"/>
        <v>19961.28673105193</v>
      </c>
      <c r="AP16" s="7">
        <f t="shared" si="25"/>
        <v>18735.652041460697</v>
      </c>
      <c r="AS16" s="59"/>
      <c r="AT16" s="113" t="s">
        <v>43</v>
      </c>
      <c r="AU16" s="6">
        <f aca="true" t="shared" si="26" ref="AU16:BS16">AU15*AU14</f>
        <v>45588.90880000024</v>
      </c>
      <c r="AV16" s="11">
        <f t="shared" si="26"/>
        <v>43252.47722400014</v>
      </c>
      <c r="AW16" s="11">
        <f t="shared" si="26"/>
        <v>40998.10568384007</v>
      </c>
      <c r="AX16" s="11">
        <f t="shared" si="26"/>
        <v>38827.617735871994</v>
      </c>
      <c r="AY16" s="11">
        <f t="shared" si="26"/>
        <v>36742.01998320254</v>
      </c>
      <c r="AZ16" s="11">
        <f t="shared" si="26"/>
        <v>34741.62111745035</v>
      </c>
      <c r="BA16" s="11">
        <f t="shared" si="26"/>
        <v>32826.137142326</v>
      </c>
      <c r="BB16" s="11">
        <f t="shared" si="26"/>
        <v>30994.784228069875</v>
      </c>
      <c r="BC16" s="11">
        <f t="shared" si="26"/>
        <v>29246.36050238384</v>
      </c>
      <c r="BD16" s="11">
        <f t="shared" si="26"/>
        <v>26986.276951286953</v>
      </c>
      <c r="BE16" s="11">
        <f t="shared" si="26"/>
        <v>25444.5432172293</v>
      </c>
      <c r="BF16" s="11">
        <f t="shared" si="26"/>
        <v>23976.493830084222</v>
      </c>
      <c r="BG16" s="11">
        <f t="shared" si="26"/>
        <v>22580.22911602237</v>
      </c>
      <c r="BH16" s="11">
        <f t="shared" si="26"/>
        <v>21253.67993035112</v>
      </c>
      <c r="BI16" s="11">
        <f t="shared" si="26"/>
        <v>19994.647079568258</v>
      </c>
      <c r="BJ16" s="11">
        <f t="shared" si="26"/>
        <v>18800.835508456126</v>
      </c>
      <c r="BK16" s="11">
        <f t="shared" si="26"/>
        <v>17669.88383848335</v>
      </c>
      <c r="BL16" s="11">
        <f t="shared" si="26"/>
        <v>16599.389783410446</v>
      </c>
      <c r="BM16" s="11">
        <f t="shared" si="26"/>
        <v>15586.931913518027</v>
      </c>
      <c r="BN16" s="11">
        <f t="shared" si="26"/>
        <v>14630.088190771816</v>
      </c>
      <c r="BO16" s="11">
        <f t="shared" si="26"/>
        <v>13726.451652989039</v>
      </c>
      <c r="BP16" s="11">
        <f t="shared" si="26"/>
        <v>12873.64358517099</v>
      </c>
      <c r="BQ16" s="11">
        <f t="shared" si="26"/>
        <v>12069.324480267544</v>
      </c>
      <c r="BR16" s="11">
        <f t="shared" si="26"/>
        <v>11311.203059306563</v>
      </c>
      <c r="BS16" s="7">
        <f t="shared" si="26"/>
        <v>10597.04359173807</v>
      </c>
      <c r="BT16" s="51"/>
      <c r="BV16" s="59"/>
      <c r="BW16" s="113" t="s">
        <v>10</v>
      </c>
      <c r="BX16" s="45">
        <v>1</v>
      </c>
      <c r="BY16" s="5">
        <v>0.92</v>
      </c>
      <c r="BZ16" s="5">
        <v>0.8464</v>
      </c>
      <c r="CA16" s="5">
        <v>0.778688</v>
      </c>
      <c r="CB16" s="5">
        <v>0.7163929600000001</v>
      </c>
      <c r="CC16" s="5">
        <v>0.6590815232000001</v>
      </c>
      <c r="CD16" s="5">
        <v>0.6063550013440001</v>
      </c>
      <c r="CE16" s="5">
        <v>0.5578466012364801</v>
      </c>
      <c r="CF16" s="5">
        <v>0.5132188731375618</v>
      </c>
      <c r="CG16" s="5">
        <v>0.47216136328655683</v>
      </c>
      <c r="CH16" s="3">
        <f>CH11</f>
        <v>0.4343884542236323</v>
      </c>
      <c r="CI16" s="3">
        <f aca="true" t="shared" si="27" ref="CI16:CV16">CI11</f>
        <v>0.3996373778857418</v>
      </c>
      <c r="CJ16" s="3">
        <f t="shared" si="27"/>
        <v>0.36766638765488246</v>
      </c>
      <c r="CK16" s="3">
        <f t="shared" si="27"/>
        <v>0.3382530766424919</v>
      </c>
      <c r="CL16" s="3">
        <f t="shared" si="27"/>
        <v>0.31119283051109253</v>
      </c>
      <c r="CM16" s="3">
        <f t="shared" si="27"/>
        <v>0.28629740407020515</v>
      </c>
      <c r="CN16" s="3">
        <f t="shared" si="27"/>
        <v>0.26339361174458875</v>
      </c>
      <c r="CO16" s="3">
        <f t="shared" si="27"/>
        <v>0.24232212280502166</v>
      </c>
      <c r="CP16" s="3">
        <f t="shared" si="27"/>
        <v>0.22293635298061995</v>
      </c>
      <c r="CQ16" s="3">
        <f t="shared" si="27"/>
        <v>0.20510144474217037</v>
      </c>
      <c r="CR16" s="3">
        <f t="shared" si="27"/>
        <v>0.18869332916279674</v>
      </c>
      <c r="CS16" s="3">
        <f t="shared" si="27"/>
        <v>0.17359786282977302</v>
      </c>
      <c r="CT16" s="3">
        <f t="shared" si="27"/>
        <v>0.1597100338033912</v>
      </c>
      <c r="CU16" s="3">
        <f t="shared" si="27"/>
        <v>0.1469332310991199</v>
      </c>
      <c r="CV16" s="4">
        <f t="shared" si="27"/>
        <v>0.13517857261119032</v>
      </c>
      <c r="CW16" s="51"/>
    </row>
    <row r="17" spans="2:101" ht="15">
      <c r="B17" s="18"/>
      <c r="C17" s="19"/>
      <c r="D17" s="20"/>
      <c r="E17" s="20"/>
      <c r="F17" s="20"/>
      <c r="G17" s="20"/>
      <c r="H17" s="20"/>
      <c r="I17" s="51"/>
      <c r="M17" s="59"/>
      <c r="N17" s="59"/>
      <c r="O17" s="74"/>
      <c r="P17" s="59"/>
      <c r="Q17" s="113" t="s">
        <v>44</v>
      </c>
      <c r="R17" s="6">
        <f>R16</f>
        <v>73743.17212000013</v>
      </c>
      <c r="S17" s="11">
        <f>S16+R17</f>
        <v>144126.2349196002</v>
      </c>
      <c r="T17" s="11">
        <f aca="true" t="shared" si="28" ref="T17:AB17">T16+S17</f>
        <v>211214.84958849614</v>
      </c>
      <c r="U17" s="11">
        <f t="shared" si="28"/>
        <v>275085.67622568324</v>
      </c>
      <c r="V17" s="11">
        <f t="shared" si="28"/>
        <v>335824.19378235424</v>
      </c>
      <c r="W17" s="11">
        <f t="shared" si="28"/>
        <v>393522.79842091387</v>
      </c>
      <c r="X17" s="11">
        <f t="shared" si="28"/>
        <v>448279.14969589683</v>
      </c>
      <c r="Y17" s="11">
        <f t="shared" si="28"/>
        <v>500194.73707578867</v>
      </c>
      <c r="Z17" s="11">
        <f t="shared" si="28"/>
        <v>549373.6421356441</v>
      </c>
      <c r="AA17" s="11">
        <f t="shared" si="28"/>
        <v>595328.4332849766</v>
      </c>
      <c r="AB17" s="11">
        <f t="shared" si="28"/>
        <v>638804.1369131658</v>
      </c>
      <c r="AC17" s="11">
        <f aca="true" t="shared" si="29" ref="AC17:AP17">AC16+AB17</f>
        <v>679903.0154821904</v>
      </c>
      <c r="AD17" s="11">
        <f t="shared" si="29"/>
        <v>718726.8583460267</v>
      </c>
      <c r="AE17" s="11">
        <f t="shared" si="29"/>
        <v>755376.4011293163</v>
      </c>
      <c r="AF17" s="11">
        <f t="shared" si="29"/>
        <v>789950.8411821417</v>
      </c>
      <c r="AG17" s="11">
        <f t="shared" si="29"/>
        <v>822547.4374426637</v>
      </c>
      <c r="AH17" s="11">
        <f t="shared" si="29"/>
        <v>853261.1842923835</v>
      </c>
      <c r="AI17" s="11">
        <f t="shared" si="29"/>
        <v>882184.5501159205</v>
      </c>
      <c r="AJ17" s="11">
        <f t="shared" si="29"/>
        <v>909407.2722905608</v>
      </c>
      <c r="AK17" s="11">
        <f t="shared" si="29"/>
        <v>935016.2012414344</v>
      </c>
      <c r="AL17" s="11">
        <f t="shared" si="29"/>
        <v>959095.187015997</v>
      </c>
      <c r="AM17" s="11">
        <f t="shared" si="29"/>
        <v>981725.0025655131</v>
      </c>
      <c r="AN17" s="11">
        <f t="shared" si="29"/>
        <v>1002983.2985796758</v>
      </c>
      <c r="AO17" s="11">
        <f t="shared" si="29"/>
        <v>1022944.5853107278</v>
      </c>
      <c r="AP17" s="7">
        <f t="shared" si="29"/>
        <v>1041680.2373521886</v>
      </c>
      <c r="AS17" s="59"/>
      <c r="AT17" s="113" t="s">
        <v>44</v>
      </c>
      <c r="AU17" s="6">
        <f>AU16</f>
        <v>45588.90880000024</v>
      </c>
      <c r="AV17" s="11">
        <f aca="true" t="shared" si="30" ref="AV17:BS17">AV16+AU17</f>
        <v>88841.38602400039</v>
      </c>
      <c r="AW17" s="11">
        <f t="shared" si="30"/>
        <v>129839.49170784045</v>
      </c>
      <c r="AX17" s="11">
        <f t="shared" si="30"/>
        <v>168667.10944371246</v>
      </c>
      <c r="AY17" s="11">
        <f t="shared" si="30"/>
        <v>205409.129426915</v>
      </c>
      <c r="AZ17" s="11">
        <f t="shared" si="30"/>
        <v>240150.75054436535</v>
      </c>
      <c r="BA17" s="11">
        <f t="shared" si="30"/>
        <v>272976.88768669136</v>
      </c>
      <c r="BB17" s="11">
        <f t="shared" si="30"/>
        <v>303971.67191476125</v>
      </c>
      <c r="BC17" s="11">
        <f t="shared" si="30"/>
        <v>333218.0324171451</v>
      </c>
      <c r="BD17" s="11">
        <f t="shared" si="30"/>
        <v>360204.30936843203</v>
      </c>
      <c r="BE17" s="11">
        <f t="shared" si="30"/>
        <v>385648.85258566134</v>
      </c>
      <c r="BF17" s="11">
        <f t="shared" si="30"/>
        <v>409625.34641574556</v>
      </c>
      <c r="BG17" s="11">
        <f t="shared" si="30"/>
        <v>432205.5755317679</v>
      </c>
      <c r="BH17" s="11">
        <f t="shared" si="30"/>
        <v>453459.255462119</v>
      </c>
      <c r="BI17" s="11">
        <f t="shared" si="30"/>
        <v>473453.90254168725</v>
      </c>
      <c r="BJ17" s="11">
        <f t="shared" si="30"/>
        <v>492254.73805014335</v>
      </c>
      <c r="BK17" s="11">
        <f t="shared" si="30"/>
        <v>509924.6218886267</v>
      </c>
      <c r="BL17" s="11">
        <f t="shared" si="30"/>
        <v>526524.0116720372</v>
      </c>
      <c r="BM17" s="11">
        <f t="shared" si="30"/>
        <v>542110.9435855552</v>
      </c>
      <c r="BN17" s="11">
        <f t="shared" si="30"/>
        <v>556741.031776327</v>
      </c>
      <c r="BO17" s="11">
        <f t="shared" si="30"/>
        <v>570467.4834293161</v>
      </c>
      <c r="BP17" s="11">
        <f t="shared" si="30"/>
        <v>583341.127014487</v>
      </c>
      <c r="BQ17" s="11">
        <f t="shared" si="30"/>
        <v>595410.4514947546</v>
      </c>
      <c r="BR17" s="11">
        <f t="shared" si="30"/>
        <v>606721.6545540612</v>
      </c>
      <c r="BS17" s="7">
        <f t="shared" si="30"/>
        <v>617318.6981457993</v>
      </c>
      <c r="BT17" s="51"/>
      <c r="BV17" s="59"/>
      <c r="BW17" s="113" t="s">
        <v>43</v>
      </c>
      <c r="BX17" s="6">
        <f aca="true" t="shared" si="31" ref="BX17:CV17">BX16*BX15</f>
        <v>30725.20982180928</v>
      </c>
      <c r="BY17" s="11">
        <f t="shared" si="31"/>
        <v>28749.50135171992</v>
      </c>
      <c r="BZ17" s="11">
        <f t="shared" si="31"/>
        <v>26823.719398444748</v>
      </c>
      <c r="CA17" s="11">
        <f t="shared" si="31"/>
        <v>25022.065749042595</v>
      </c>
      <c r="CB17" s="11">
        <f t="shared" si="31"/>
        <v>23337.004879394743</v>
      </c>
      <c r="CC17" s="11">
        <f t="shared" si="31"/>
        <v>21761.41252809667</v>
      </c>
      <c r="CD17" s="11">
        <f t="shared" si="31"/>
        <v>20288.55812177809</v>
      </c>
      <c r="CE17" s="11">
        <f t="shared" si="31"/>
        <v>18912.087380290734</v>
      </c>
      <c r="CF17" s="11">
        <f t="shared" si="31"/>
        <v>17626.005185461974</v>
      </c>
      <c r="CG17" s="11">
        <f t="shared" si="31"/>
        <v>16424.658782571954</v>
      </c>
      <c r="CH17" s="11">
        <f t="shared" si="31"/>
        <v>15302.721370957383</v>
      </c>
      <c r="CI17" s="11">
        <f t="shared" si="31"/>
        <v>14255.176128992684</v>
      </c>
      <c r="CJ17" s="11">
        <f t="shared" si="31"/>
        <v>13277.30070896816</v>
      </c>
      <c r="CK17" s="11">
        <f t="shared" si="31"/>
        <v>12364.65222892205</v>
      </c>
      <c r="CL17" s="11">
        <f t="shared" si="31"/>
        <v>11513.052781145923</v>
      </c>
      <c r="CM17" s="11">
        <f t="shared" si="31"/>
        <v>10718.575470748874</v>
      </c>
      <c r="CN17" s="11">
        <f t="shared" si="31"/>
        <v>9977.530992216018</v>
      </c>
      <c r="CO17" s="11">
        <f t="shared" si="31"/>
        <v>9286.454747235597</v>
      </c>
      <c r="CP17" s="11">
        <f t="shared" si="31"/>
        <v>8642.09450310189</v>
      </c>
      <c r="CQ17" s="11">
        <f t="shared" si="31"/>
        <v>8041.398587647266</v>
      </c>
      <c r="CR17" s="11">
        <f t="shared" si="31"/>
        <v>7481.504613845531</v>
      </c>
      <c r="CS17" s="11">
        <f t="shared" si="31"/>
        <v>6959.728724891132</v>
      </c>
      <c r="CT17" s="11">
        <f t="shared" si="31"/>
        <v>6473.5553486408035</v>
      </c>
      <c r="CU17" s="11">
        <f t="shared" si="31"/>
        <v>6020.627448751244</v>
      </c>
      <c r="CV17" s="7">
        <f t="shared" si="31"/>
        <v>5598.737258612711</v>
      </c>
      <c r="CW17" s="51"/>
    </row>
    <row r="18" spans="2:101" ht="15.75" thickBot="1">
      <c r="B18" s="52" t="s">
        <v>29</v>
      </c>
      <c r="C18" s="19"/>
      <c r="D18" s="20"/>
      <c r="E18" s="20"/>
      <c r="F18" s="20"/>
      <c r="G18" s="20"/>
      <c r="H18" s="20"/>
      <c r="I18" s="51"/>
      <c r="M18" s="59"/>
      <c r="N18" s="59"/>
      <c r="O18" s="74"/>
      <c r="P18" s="59"/>
      <c r="Q18" s="115" t="s">
        <v>45</v>
      </c>
      <c r="R18" s="46">
        <f>(R17+R12)/1000</f>
        <v>-221.99540067999996</v>
      </c>
      <c r="S18" s="41">
        <f aca="true" t="shared" si="32" ref="S18:AB18">(S17+S12)/1000</f>
        <v>-186.4918671363999</v>
      </c>
      <c r="T18" s="41">
        <f t="shared" si="32"/>
        <v>-151.60078177438396</v>
      </c>
      <c r="U18" s="41">
        <f t="shared" si="32"/>
        <v>-117.41560911383684</v>
      </c>
      <c r="V18" s="41">
        <f t="shared" si="32"/>
        <v>-84.01380099395878</v>
      </c>
      <c r="W18" s="41">
        <f t="shared" si="32"/>
        <v>-51.458531524378984</v>
      </c>
      <c r="X18" s="41">
        <f t="shared" si="32"/>
        <v>-19.80027523763757</v>
      </c>
      <c r="Y18" s="41">
        <f t="shared" si="32"/>
        <v>10.921759037863813</v>
      </c>
      <c r="Z18" s="41">
        <f t="shared" si="32"/>
        <v>40.678326947681725</v>
      </c>
      <c r="AA18" s="41">
        <f t="shared" si="32"/>
        <v>69.15778176449157</v>
      </c>
      <c r="AB18" s="41">
        <f t="shared" si="32"/>
        <v>96.6522146888515</v>
      </c>
      <c r="AC18" s="41">
        <f aca="true" t="shared" si="33" ref="AC18:AP18">(AC17+AC12)/1000</f>
        <v>123.15511976165965</v>
      </c>
      <c r="AD18" s="41">
        <f t="shared" si="33"/>
        <v>148.6658710344825</v>
      </c>
      <c r="AE18" s="41">
        <f t="shared" si="33"/>
        <v>173.18894161630143</v>
      </c>
      <c r="AF18" s="41">
        <f t="shared" si="33"/>
        <v>196.7332005023699</v>
      </c>
      <c r="AG18" s="41">
        <f t="shared" si="33"/>
        <v>219.31128050783218</v>
      </c>
      <c r="AH18" s="41">
        <f t="shared" si="33"/>
        <v>240.93901113721182</v>
      </c>
      <c r="AI18" s="41">
        <f t="shared" si="33"/>
        <v>261.63491069573234</v>
      </c>
      <c r="AJ18" s="41">
        <f t="shared" si="33"/>
        <v>281.4197323913967</v>
      </c>
      <c r="AK18" s="41">
        <f t="shared" si="33"/>
        <v>300.3160595895154</v>
      </c>
      <c r="AL18" s="41">
        <f t="shared" si="33"/>
        <v>318.3479457656087</v>
      </c>
      <c r="AM18" s="41">
        <f t="shared" si="33"/>
        <v>335.540595059896</v>
      </c>
      <c r="AN18" s="41">
        <f t="shared" si="33"/>
        <v>351.9200796685166</v>
      </c>
      <c r="AO18" s="41">
        <f t="shared" si="33"/>
        <v>367.51309061468345</v>
      </c>
      <c r="AP18" s="42">
        <f t="shared" si="33"/>
        <v>382.3467187286243</v>
      </c>
      <c r="AS18" s="59"/>
      <c r="AT18" s="115" t="s">
        <v>45</v>
      </c>
      <c r="AU18" s="46">
        <f aca="true" t="shared" si="34" ref="AU18:BS18">(AU17+AU12)/1000</f>
        <v>-245.37259501727544</v>
      </c>
      <c r="AV18" s="41">
        <f t="shared" si="34"/>
        <v>-232.47700557169065</v>
      </c>
      <c r="AW18" s="41">
        <f t="shared" si="34"/>
        <v>-219.417790447511</v>
      </c>
      <c r="AX18" s="41">
        <f t="shared" si="34"/>
        <v>-206.28704239246446</v>
      </c>
      <c r="AY18" s="41">
        <f t="shared" si="34"/>
        <v>-193.1653871746451</v>
      </c>
      <c r="AZ18" s="41">
        <f t="shared" si="34"/>
        <v>-180.12294334206237</v>
      </c>
      <c r="BA18" s="41">
        <f t="shared" si="34"/>
        <v>-167.2202375778944</v>
      </c>
      <c r="BB18" s="41">
        <f t="shared" si="34"/>
        <v>-154.5090722180277</v>
      </c>
      <c r="BC18" s="41">
        <f t="shared" si="34"/>
        <v>-142.0333428634649</v>
      </c>
      <c r="BD18" s="41">
        <f t="shared" si="34"/>
        <v>-130.17263034620765</v>
      </c>
      <c r="BE18" s="41">
        <f t="shared" si="34"/>
        <v>-118.59464262535953</v>
      </c>
      <c r="BF18" s="41">
        <f t="shared" si="34"/>
        <v>-107.32495299475862</v>
      </c>
      <c r="BG18" s="41">
        <f t="shared" si="34"/>
        <v>-96.383968985782</v>
      </c>
      <c r="BH18" s="41">
        <f t="shared" si="34"/>
        <v>-85.78749613997061</v>
      </c>
      <c r="BI18" s="41">
        <f t="shared" si="34"/>
        <v>-75.54725744343467</v>
      </c>
      <c r="BJ18" s="41">
        <f t="shared" si="34"/>
        <v>-65.67137029981822</v>
      </c>
      <c r="BK18" s="41">
        <f t="shared" si="34"/>
        <v>-56.164783100319674</v>
      </c>
      <c r="BL18" s="41">
        <f t="shared" si="34"/>
        <v>-47.029673565851176</v>
      </c>
      <c r="BM18" s="41">
        <f t="shared" si="34"/>
        <v>-38.26581109998864</v>
      </c>
      <c r="BN18" s="41">
        <f t="shared" si="34"/>
        <v>-29.870885412217117</v>
      </c>
      <c r="BO18" s="41">
        <f t="shared" si="34"/>
        <v>-21.840803657767363</v>
      </c>
      <c r="BP18" s="41">
        <f t="shared" si="34"/>
        <v>-14.16995830037375</v>
      </c>
      <c r="BQ18" s="41">
        <f t="shared" si="34"/>
        <v>-6.851467843655032</v>
      </c>
      <c r="BR18" s="41">
        <f t="shared" si="34"/>
        <v>0.12260749937104992</v>
      </c>
      <c r="BS18" s="42">
        <f t="shared" si="34"/>
        <v>6.761073216665303</v>
      </c>
      <c r="BT18" s="51"/>
      <c r="BV18" s="59"/>
      <c r="BW18" s="113" t="s">
        <v>44</v>
      </c>
      <c r="BX18" s="6">
        <f>BX17</f>
        <v>30725.20982180928</v>
      </c>
      <c r="BY18" s="11">
        <f aca="true" t="shared" si="35" ref="BY18:CV18">BY17+BX18</f>
        <v>59474.7111735292</v>
      </c>
      <c r="BZ18" s="11">
        <f t="shared" si="35"/>
        <v>86298.43057197395</v>
      </c>
      <c r="CA18" s="11">
        <f t="shared" si="35"/>
        <v>111320.49632101654</v>
      </c>
      <c r="CB18" s="11">
        <f t="shared" si="35"/>
        <v>134657.5012004113</v>
      </c>
      <c r="CC18" s="11">
        <f t="shared" si="35"/>
        <v>156418.91372850796</v>
      </c>
      <c r="CD18" s="11">
        <f t="shared" si="35"/>
        <v>176707.47185028606</v>
      </c>
      <c r="CE18" s="11">
        <f t="shared" si="35"/>
        <v>195619.5592305768</v>
      </c>
      <c r="CF18" s="11">
        <f t="shared" si="35"/>
        <v>213245.56441603877</v>
      </c>
      <c r="CG18" s="11">
        <f t="shared" si="35"/>
        <v>229670.22319861074</v>
      </c>
      <c r="CH18" s="11">
        <f t="shared" si="35"/>
        <v>244972.94456956812</v>
      </c>
      <c r="CI18" s="11">
        <f t="shared" si="35"/>
        <v>259228.12069856082</v>
      </c>
      <c r="CJ18" s="11">
        <f t="shared" si="35"/>
        <v>272505.421407529</v>
      </c>
      <c r="CK18" s="11">
        <f t="shared" si="35"/>
        <v>284870.07363645104</v>
      </c>
      <c r="CL18" s="11">
        <f t="shared" si="35"/>
        <v>296383.12641759694</v>
      </c>
      <c r="CM18" s="11">
        <f t="shared" si="35"/>
        <v>307101.7018883458</v>
      </c>
      <c r="CN18" s="11">
        <f t="shared" si="35"/>
        <v>317079.23288056185</v>
      </c>
      <c r="CO18" s="11">
        <f t="shared" si="35"/>
        <v>326365.6876277974</v>
      </c>
      <c r="CP18" s="11">
        <f t="shared" si="35"/>
        <v>335007.7821308993</v>
      </c>
      <c r="CQ18" s="11">
        <f t="shared" si="35"/>
        <v>343049.18071854656</v>
      </c>
      <c r="CR18" s="11">
        <f t="shared" si="35"/>
        <v>350530.6853323921</v>
      </c>
      <c r="CS18" s="11">
        <f t="shared" si="35"/>
        <v>357490.41405728325</v>
      </c>
      <c r="CT18" s="11">
        <f t="shared" si="35"/>
        <v>363963.9694059241</v>
      </c>
      <c r="CU18" s="11">
        <f t="shared" si="35"/>
        <v>369984.5968546753</v>
      </c>
      <c r="CV18" s="7">
        <f t="shared" si="35"/>
        <v>375583.33411328803</v>
      </c>
      <c r="CW18" s="51"/>
    </row>
    <row r="19" spans="2:101" ht="39" thickBot="1">
      <c r="B19" s="53"/>
      <c r="C19" s="54" t="s">
        <v>48</v>
      </c>
      <c r="D19" s="77" t="s">
        <v>49</v>
      </c>
      <c r="E19" s="54" t="s">
        <v>53</v>
      </c>
      <c r="F19" s="77" t="s">
        <v>50</v>
      </c>
      <c r="G19" s="54" t="s">
        <v>35</v>
      </c>
      <c r="H19" s="77" t="s">
        <v>54</v>
      </c>
      <c r="I19" s="54" t="s">
        <v>5</v>
      </c>
      <c r="J19" s="77" t="s">
        <v>55</v>
      </c>
      <c r="K19" s="54" t="s">
        <v>56</v>
      </c>
      <c r="L19" s="55"/>
      <c r="M19" s="55"/>
      <c r="N19" s="55"/>
      <c r="O19" s="74"/>
      <c r="P19" s="59"/>
      <c r="AS19" s="59"/>
      <c r="BT19" s="51"/>
      <c r="BV19" s="59"/>
      <c r="BW19" s="115" t="s">
        <v>45</v>
      </c>
      <c r="BX19" s="46">
        <f aca="true" t="shared" si="36" ref="BX19:CV19">(BX18+BX13)/1000</f>
        <v>-77.32415501007596</v>
      </c>
      <c r="BY19" s="41">
        <f t="shared" si="36"/>
        <v>-73.13916764509668</v>
      </c>
      <c r="BZ19" s="41">
        <f t="shared" si="36"/>
        <v>-69.33139202012997</v>
      </c>
      <c r="CA19" s="41">
        <f t="shared" si="36"/>
        <v>-65.87051931539763</v>
      </c>
      <c r="CB19" s="41">
        <f t="shared" si="36"/>
        <v>-62.72841507599145</v>
      </c>
      <c r="CC19" s="41">
        <f t="shared" si="36"/>
        <v>-59.87898616123243</v>
      </c>
      <c r="CD19" s="41">
        <f t="shared" si="36"/>
        <v>-57.29805339649503</v>
      </c>
      <c r="CE19" s="41">
        <f t="shared" si="36"/>
        <v>-54.963230000201236</v>
      </c>
      <c r="CF19" s="41">
        <f t="shared" si="36"/>
        <v>-52.85380579987567</v>
      </c>
      <c r="CG19" s="41">
        <f t="shared" si="36"/>
        <v>-50.950637202138516</v>
      </c>
      <c r="CH19" s="41">
        <f t="shared" si="36"/>
        <v>-49.23604284103736</v>
      </c>
      <c r="CI19" s="41">
        <f t="shared" si="36"/>
        <v>-48.42488295015044</v>
      </c>
      <c r="CJ19" s="41">
        <f t="shared" si="36"/>
        <v>-48.40396672965295</v>
      </c>
      <c r="CK19" s="41">
        <f t="shared" si="36"/>
        <v>-49.06885212514299</v>
      </c>
      <c r="CL19" s="41">
        <f t="shared" si="36"/>
        <v>-50.3254058106679</v>
      </c>
      <c r="CM19" s="41">
        <f t="shared" si="36"/>
        <v>-52.08892977658147</v>
      </c>
      <c r="CN19" s="41">
        <f t="shared" si="36"/>
        <v>-54.28335308306146</v>
      </c>
      <c r="CO19" s="41">
        <f t="shared" si="36"/>
        <v>-56.840484630972554</v>
      </c>
      <c r="CP19" s="41">
        <f t="shared" si="36"/>
        <v>-59.699322993362436</v>
      </c>
      <c r="CQ19" s="41">
        <f t="shared" si="36"/>
        <v>-62.805419542778985</v>
      </c>
      <c r="CR19" s="41">
        <f t="shared" si="36"/>
        <v>-66.11029130016803</v>
      </c>
      <c r="CS19" s="41">
        <f t="shared" si="36"/>
        <v>-69.57088011901598</v>
      </c>
      <c r="CT19" s="41">
        <f t="shared" si="36"/>
        <v>-73.1490550025461</v>
      </c>
      <c r="CU19" s="41">
        <f t="shared" si="36"/>
        <v>-76.81115453128837</v>
      </c>
      <c r="CV19" s="42">
        <f t="shared" si="36"/>
        <v>-80.5275665525283</v>
      </c>
      <c r="CW19" s="51"/>
    </row>
    <row r="20" spans="2:101" ht="15.75" thickBot="1">
      <c r="B20" s="116" t="s">
        <v>22</v>
      </c>
      <c r="C20" s="92">
        <v>264</v>
      </c>
      <c r="D20" s="124">
        <v>48</v>
      </c>
      <c r="E20" s="92">
        <f>C20*C5+D20*B5</f>
        <v>265920</v>
      </c>
      <c r="F20" s="124">
        <v>359.015</v>
      </c>
      <c r="G20" s="92">
        <v>670.86</v>
      </c>
      <c r="H20" s="119">
        <v>975.79</v>
      </c>
      <c r="I20" s="129">
        <f>C20/(C20+D20)</f>
        <v>0.8461538461538461</v>
      </c>
      <c r="J20" s="119">
        <f>I20*D16+(1-I20)*G16</f>
        <v>21.3</v>
      </c>
      <c r="K20" s="129">
        <v>1725</v>
      </c>
      <c r="L20" s="75"/>
      <c r="M20" s="75"/>
      <c r="N20" s="75"/>
      <c r="Q20" s="108" t="s">
        <v>13</v>
      </c>
      <c r="R20" s="177" t="s">
        <v>0</v>
      </c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9"/>
      <c r="AS20" s="51"/>
      <c r="AT20" s="109" t="s">
        <v>13</v>
      </c>
      <c r="AU20" s="169" t="s">
        <v>0</v>
      </c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1"/>
      <c r="BT20" s="51"/>
      <c r="BV20" s="51"/>
      <c r="CW20" s="51"/>
    </row>
    <row r="21" spans="2:101" ht="13.5" thickBot="1">
      <c r="B21" s="117" t="s">
        <v>23</v>
      </c>
      <c r="C21" s="130">
        <v>216</v>
      </c>
      <c r="D21" s="120">
        <f>18*3</f>
        <v>54</v>
      </c>
      <c r="E21" s="132">
        <f>C21*C5+D21*B5</f>
        <v>218160</v>
      </c>
      <c r="F21" s="120">
        <v>208.555</v>
      </c>
      <c r="G21" s="130">
        <v>566.68</v>
      </c>
      <c r="H21" s="122">
        <v>743.14</v>
      </c>
      <c r="I21" s="130">
        <f>C21/(C21+D21)</f>
        <v>0.8</v>
      </c>
      <c r="J21" s="120">
        <f>I21*D16+(1-I21)*H16</f>
        <v>19.24</v>
      </c>
      <c r="K21" s="130">
        <v>1370.655</v>
      </c>
      <c r="L21" s="75"/>
      <c r="M21" s="75"/>
      <c r="N21" s="75"/>
      <c r="Q21" s="110" t="s">
        <v>9</v>
      </c>
      <c r="R21" s="102">
        <v>2020</v>
      </c>
      <c r="S21" s="103">
        <v>2021</v>
      </c>
      <c r="T21" s="103">
        <v>2022</v>
      </c>
      <c r="U21" s="103">
        <v>2023</v>
      </c>
      <c r="V21" s="103">
        <v>2024</v>
      </c>
      <c r="W21" s="103">
        <v>2025</v>
      </c>
      <c r="X21" s="103">
        <v>2026</v>
      </c>
      <c r="Y21" s="103">
        <v>2027</v>
      </c>
      <c r="Z21" s="103">
        <v>2028</v>
      </c>
      <c r="AA21" s="103">
        <v>2029</v>
      </c>
      <c r="AB21" s="103">
        <v>2030</v>
      </c>
      <c r="AC21" s="103">
        <v>2031</v>
      </c>
      <c r="AD21" s="103">
        <v>2032</v>
      </c>
      <c r="AE21" s="103">
        <v>2033</v>
      </c>
      <c r="AF21" s="103">
        <v>2034</v>
      </c>
      <c r="AG21" s="103">
        <v>2035</v>
      </c>
      <c r="AH21" s="103">
        <v>2036</v>
      </c>
      <c r="AI21" s="103">
        <v>2037</v>
      </c>
      <c r="AJ21" s="103">
        <v>2038</v>
      </c>
      <c r="AK21" s="103">
        <v>2039</v>
      </c>
      <c r="AL21" s="103">
        <v>2040</v>
      </c>
      <c r="AM21" s="103">
        <v>2041</v>
      </c>
      <c r="AN21" s="103">
        <v>2042</v>
      </c>
      <c r="AO21" s="103">
        <v>2043</v>
      </c>
      <c r="AP21" s="104">
        <v>2044</v>
      </c>
      <c r="AS21" s="51"/>
      <c r="AT21" s="110" t="s">
        <v>9</v>
      </c>
      <c r="AU21" s="107">
        <v>2020</v>
      </c>
      <c r="AV21" s="72">
        <v>2021</v>
      </c>
      <c r="AW21" s="72">
        <v>2022</v>
      </c>
      <c r="AX21" s="72">
        <v>2023</v>
      </c>
      <c r="AY21" s="72">
        <v>2024</v>
      </c>
      <c r="AZ21" s="72">
        <v>2025</v>
      </c>
      <c r="BA21" s="72">
        <v>2026</v>
      </c>
      <c r="BB21" s="72">
        <v>2027</v>
      </c>
      <c r="BC21" s="72">
        <v>2028</v>
      </c>
      <c r="BD21" s="72">
        <v>2029</v>
      </c>
      <c r="BE21" s="72">
        <v>2030</v>
      </c>
      <c r="BF21" s="72">
        <v>2031</v>
      </c>
      <c r="BG21" s="72">
        <v>2032</v>
      </c>
      <c r="BH21" s="72">
        <v>2033</v>
      </c>
      <c r="BI21" s="72">
        <v>2034</v>
      </c>
      <c r="BJ21" s="72">
        <v>2035</v>
      </c>
      <c r="BK21" s="72">
        <v>2036</v>
      </c>
      <c r="BL21" s="72">
        <v>2037</v>
      </c>
      <c r="BM21" s="72">
        <v>2038</v>
      </c>
      <c r="BN21" s="72">
        <v>2039</v>
      </c>
      <c r="BO21" s="72">
        <v>2040</v>
      </c>
      <c r="BP21" s="72">
        <v>2041</v>
      </c>
      <c r="BQ21" s="72">
        <v>2042</v>
      </c>
      <c r="BR21" s="72">
        <v>2043</v>
      </c>
      <c r="BS21" s="73">
        <v>2044</v>
      </c>
      <c r="BT21" s="51"/>
      <c r="BV21" s="51"/>
      <c r="CW21" s="51"/>
    </row>
    <row r="22" spans="2:101" ht="13.5" thickBot="1">
      <c r="B22" s="118" t="s">
        <v>24</v>
      </c>
      <c r="C22" s="133">
        <v>84</v>
      </c>
      <c r="D22" s="125">
        <f>2*5.25</f>
        <v>10.5</v>
      </c>
      <c r="E22" s="131">
        <f>C22*C5+D22*B5</f>
        <v>84420</v>
      </c>
      <c r="F22" s="123">
        <v>94.23</v>
      </c>
      <c r="G22" s="131">
        <v>226.74</v>
      </c>
      <c r="H22" s="123">
        <v>305.7</v>
      </c>
      <c r="I22" s="89">
        <f>C22/(C22+D22)</f>
        <v>0.8888888888888888</v>
      </c>
      <c r="J22" s="121">
        <f>I22*C16+(1-I22)*G16</f>
        <v>24.855555555555554</v>
      </c>
      <c r="K22" s="89">
        <v>418.35</v>
      </c>
      <c r="L22" s="2"/>
      <c r="M22" s="2"/>
      <c r="N22" s="2"/>
      <c r="Q22" s="112" t="s">
        <v>37</v>
      </c>
      <c r="R22" s="43">
        <f>-E21</f>
        <v>-218160</v>
      </c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9"/>
      <c r="AS22" s="51"/>
      <c r="AT22" s="112" t="s">
        <v>37</v>
      </c>
      <c r="AU22" s="43">
        <f>-E21</f>
        <v>-218160</v>
      </c>
      <c r="AV22" s="38"/>
      <c r="AW22" s="38"/>
      <c r="AX22" s="38"/>
      <c r="AY22" s="38"/>
      <c r="AZ22" s="38"/>
      <c r="BA22" s="38"/>
      <c r="BB22" s="38"/>
      <c r="BC22" s="38"/>
      <c r="BD22" s="38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6"/>
      <c r="BT22" s="51"/>
      <c r="BV22" s="51"/>
      <c r="CW22" s="51"/>
    </row>
    <row r="23" spans="2:101" ht="12.75">
      <c r="B23" s="51"/>
      <c r="C23" s="51"/>
      <c r="D23" s="51"/>
      <c r="E23" s="61"/>
      <c r="F23" s="61"/>
      <c r="Q23" s="113" t="s">
        <v>38</v>
      </c>
      <c r="R23" s="37"/>
      <c r="S23" s="16">
        <f aca="true" t="shared" si="37" ref="S23:AB23">-0.03*$C$21*$C$5</f>
        <v>-6479.999999999999</v>
      </c>
      <c r="T23" s="16">
        <f t="shared" si="37"/>
        <v>-6479.999999999999</v>
      </c>
      <c r="U23" s="16">
        <f t="shared" si="37"/>
        <v>-6479.999999999999</v>
      </c>
      <c r="V23" s="16">
        <f t="shared" si="37"/>
        <v>-6479.999999999999</v>
      </c>
      <c r="W23" s="16">
        <f t="shared" si="37"/>
        <v>-6479.999999999999</v>
      </c>
      <c r="X23" s="16">
        <f t="shared" si="37"/>
        <v>-6479.999999999999</v>
      </c>
      <c r="Y23" s="16">
        <f t="shared" si="37"/>
        <v>-6479.999999999999</v>
      </c>
      <c r="Z23" s="16">
        <f t="shared" si="37"/>
        <v>-6479.999999999999</v>
      </c>
      <c r="AA23" s="16">
        <f t="shared" si="37"/>
        <v>-6479.999999999999</v>
      </c>
      <c r="AB23" s="16">
        <f t="shared" si="37"/>
        <v>-6479.999999999999</v>
      </c>
      <c r="AC23" s="16">
        <f aca="true" t="shared" si="38" ref="AC23:AP23">-0.03*$C$21*$C$5</f>
        <v>-6479.999999999999</v>
      </c>
      <c r="AD23" s="16">
        <f t="shared" si="38"/>
        <v>-6479.999999999999</v>
      </c>
      <c r="AE23" s="16">
        <f t="shared" si="38"/>
        <v>-6479.999999999999</v>
      </c>
      <c r="AF23" s="16">
        <f t="shared" si="38"/>
        <v>-6479.999999999999</v>
      </c>
      <c r="AG23" s="16">
        <f t="shared" si="38"/>
        <v>-6479.999999999999</v>
      </c>
      <c r="AH23" s="16">
        <f t="shared" si="38"/>
        <v>-6479.999999999999</v>
      </c>
      <c r="AI23" s="16">
        <f t="shared" si="38"/>
        <v>-6479.999999999999</v>
      </c>
      <c r="AJ23" s="16">
        <f t="shared" si="38"/>
        <v>-6479.999999999999</v>
      </c>
      <c r="AK23" s="16">
        <f t="shared" si="38"/>
        <v>-6479.999999999999</v>
      </c>
      <c r="AL23" s="16">
        <f t="shared" si="38"/>
        <v>-6479.999999999999</v>
      </c>
      <c r="AM23" s="16">
        <f t="shared" si="38"/>
        <v>-6479.999999999999</v>
      </c>
      <c r="AN23" s="16">
        <f t="shared" si="38"/>
        <v>-6479.999999999999</v>
      </c>
      <c r="AO23" s="16">
        <f t="shared" si="38"/>
        <v>-6479.999999999999</v>
      </c>
      <c r="AP23" s="40">
        <f t="shared" si="38"/>
        <v>-6479.999999999999</v>
      </c>
      <c r="AS23" s="51"/>
      <c r="AT23" s="113" t="s">
        <v>38</v>
      </c>
      <c r="AU23" s="37"/>
      <c r="AV23" s="16">
        <f aca="true" t="shared" si="39" ref="AV23:BE23">-0.03*$C$21*$C$5</f>
        <v>-6479.999999999999</v>
      </c>
      <c r="AW23" s="16">
        <f t="shared" si="39"/>
        <v>-6479.999999999999</v>
      </c>
      <c r="AX23" s="16">
        <f t="shared" si="39"/>
        <v>-6479.999999999999</v>
      </c>
      <c r="AY23" s="16">
        <f t="shared" si="39"/>
        <v>-6479.999999999999</v>
      </c>
      <c r="AZ23" s="16">
        <f t="shared" si="39"/>
        <v>-6479.999999999999</v>
      </c>
      <c r="BA23" s="16">
        <f t="shared" si="39"/>
        <v>-6479.999999999999</v>
      </c>
      <c r="BB23" s="16">
        <f t="shared" si="39"/>
        <v>-6479.999999999999</v>
      </c>
      <c r="BC23" s="16">
        <f t="shared" si="39"/>
        <v>-6479.999999999999</v>
      </c>
      <c r="BD23" s="16">
        <f t="shared" si="39"/>
        <v>-6479.999999999999</v>
      </c>
      <c r="BE23" s="16">
        <f t="shared" si="39"/>
        <v>-6479.999999999999</v>
      </c>
      <c r="BF23" s="16">
        <f aca="true" t="shared" si="40" ref="BF23:BS23">-0.03*$C$21*$C$5</f>
        <v>-6479.999999999999</v>
      </c>
      <c r="BG23" s="16">
        <f t="shared" si="40"/>
        <v>-6479.999999999999</v>
      </c>
      <c r="BH23" s="16">
        <f t="shared" si="40"/>
        <v>-6479.999999999999</v>
      </c>
      <c r="BI23" s="16">
        <f t="shared" si="40"/>
        <v>-6479.999999999999</v>
      </c>
      <c r="BJ23" s="16">
        <f t="shared" si="40"/>
        <v>-6479.999999999999</v>
      </c>
      <c r="BK23" s="16">
        <f t="shared" si="40"/>
        <v>-6479.999999999999</v>
      </c>
      <c r="BL23" s="16">
        <f t="shared" si="40"/>
        <v>-6479.999999999999</v>
      </c>
      <c r="BM23" s="16">
        <f t="shared" si="40"/>
        <v>-6479.999999999999</v>
      </c>
      <c r="BN23" s="16">
        <f t="shared" si="40"/>
        <v>-6479.999999999999</v>
      </c>
      <c r="BO23" s="16">
        <f t="shared" si="40"/>
        <v>-6479.999999999999</v>
      </c>
      <c r="BP23" s="16">
        <f t="shared" si="40"/>
        <v>-6479.999999999999</v>
      </c>
      <c r="BQ23" s="16">
        <f t="shared" si="40"/>
        <v>-6479.999999999999</v>
      </c>
      <c r="BR23" s="16">
        <f t="shared" si="40"/>
        <v>-6479.999999999999</v>
      </c>
      <c r="BS23" s="40">
        <f t="shared" si="40"/>
        <v>-6479.999999999999</v>
      </c>
      <c r="BT23" s="51"/>
      <c r="BV23" s="51"/>
      <c r="CW23" s="51"/>
    </row>
    <row r="24" spans="2:101" ht="13.5" thickBot="1">
      <c r="B24" s="52" t="s">
        <v>51</v>
      </c>
      <c r="Q24" s="113" t="s">
        <v>32</v>
      </c>
      <c r="R24" s="37">
        <f>-H119</f>
        <v>-33094.111999999805</v>
      </c>
      <c r="S24" s="16">
        <f>-H120</f>
        <v>-32270.697417941596</v>
      </c>
      <c r="T24" s="16">
        <f>-H121</f>
        <v>-32128.64100585921</v>
      </c>
      <c r="U24" s="16">
        <f>-H122</f>
        <v>-31940.4038501109</v>
      </c>
      <c r="V24" s="16">
        <f>-H123</f>
        <v>-31706.020299047763</v>
      </c>
      <c r="W24" s="16">
        <f>-H124</f>
        <v>-31425.524655686913</v>
      </c>
      <c r="X24" s="16">
        <f>-H125</f>
        <v>-31098.951177799787</v>
      </c>
      <c r="Y24" s="16">
        <f>-H126</f>
        <v>-30726.334077996387</v>
      </c>
      <c r="Z24" s="16">
        <f>-H127</f>
        <v>-30307.707523804635</v>
      </c>
      <c r="AA24" s="16">
        <f>-H128</f>
        <v>-29843.1056377586</v>
      </c>
      <c r="AB24" s="16">
        <f>-H129</f>
        <v>-29332.562497482006</v>
      </c>
      <c r="AC24" s="16">
        <f>-H130</f>
        <v>-28776.112135765692</v>
      </c>
      <c r="AD24" s="16">
        <f>-H131</f>
        <v>-28173.788540655147</v>
      </c>
      <c r="AE24" s="16">
        <f>-H132</f>
        <v>-27525.625655532254</v>
      </c>
      <c r="AF24" s="16">
        <f>-H133</f>
        <v>-26831.65737919814</v>
      </c>
      <c r="AG24" s="16">
        <f>-H134</f>
        <v>-26091.917565954645</v>
      </c>
      <c r="AH24" s="16">
        <f>-H135</f>
        <v>-25306.44002568653</v>
      </c>
      <c r="AI24" s="16">
        <f>-H136</f>
        <v>-24475.25852394186</v>
      </c>
      <c r="AJ24" s="16">
        <f>-H137</f>
        <v>-23598.40678201764</v>
      </c>
      <c r="AK24" s="16">
        <f>-H138</f>
        <v>-22675.91847703933</v>
      </c>
      <c r="AL24" s="16">
        <f>-H139</f>
        <v>-21707.82724203706</v>
      </c>
      <c r="AM24" s="16">
        <f>-H140</f>
        <v>-20694.166666037025</v>
      </c>
      <c r="AN24" s="16">
        <f>-H141</f>
        <v>-19634.97029413375</v>
      </c>
      <c r="AO24" s="16">
        <f>-H142</f>
        <v>-18530.271627573333</v>
      </c>
      <c r="AP24" s="40">
        <f>-H143</f>
        <v>-17380.104123837264</v>
      </c>
      <c r="AQ24" s="15"/>
      <c r="AR24" s="17"/>
      <c r="AS24" s="51"/>
      <c r="AT24" s="113" t="s">
        <v>32</v>
      </c>
      <c r="AU24" s="37">
        <v>-33094.111999999805</v>
      </c>
      <c r="AV24" s="16">
        <v>-32270.697417941596</v>
      </c>
      <c r="AW24" s="16">
        <v>-32128.64100585921</v>
      </c>
      <c r="AX24" s="16">
        <v>-31940.4038501109</v>
      </c>
      <c r="AY24" s="16">
        <v>-31706.020299047763</v>
      </c>
      <c r="AZ24" s="16">
        <v>-31425.524655686913</v>
      </c>
      <c r="BA24" s="16">
        <v>-31098.951177799787</v>
      </c>
      <c r="BB24" s="16">
        <v>-30726.334077996387</v>
      </c>
      <c r="BC24" s="16">
        <v>-30307.707523804635</v>
      </c>
      <c r="BD24" s="16">
        <v>-29843.1056377586</v>
      </c>
      <c r="BE24" s="16">
        <v>-29332.562497482006</v>
      </c>
      <c r="BF24" s="16">
        <v>-28776.112135765692</v>
      </c>
      <c r="BG24" s="16">
        <v>-28173.788540655147</v>
      </c>
      <c r="BH24" s="16">
        <v>-27525.625655532254</v>
      </c>
      <c r="BI24" s="16">
        <v>-26831.65737919814</v>
      </c>
      <c r="BJ24" s="16">
        <v>-26091.917565954645</v>
      </c>
      <c r="BK24" s="16">
        <v>-25306.44002568653</v>
      </c>
      <c r="BL24" s="16">
        <v>-24475.25852394186</v>
      </c>
      <c r="BM24" s="16">
        <v>-23598.40678201764</v>
      </c>
      <c r="BN24" s="16">
        <v>-22675.91847703933</v>
      </c>
      <c r="BO24" s="16">
        <v>-21707.82724203706</v>
      </c>
      <c r="BP24" s="16">
        <v>-20694.166666037025</v>
      </c>
      <c r="BQ24" s="16">
        <v>-19634.97029413375</v>
      </c>
      <c r="BR24" s="16">
        <v>-18530.271627573333</v>
      </c>
      <c r="BS24" s="40">
        <v>-17380.104123837264</v>
      </c>
      <c r="BT24" s="15"/>
      <c r="BV24" s="51"/>
      <c r="CW24" s="15"/>
    </row>
    <row r="25" spans="2:101" ht="13.5" thickBot="1">
      <c r="B25" s="51"/>
      <c r="C25" s="67"/>
      <c r="D25" s="174" t="s">
        <v>74</v>
      </c>
      <c r="E25" s="175"/>
      <c r="F25" s="176"/>
      <c r="G25" s="174" t="s">
        <v>75</v>
      </c>
      <c r="H25" s="175"/>
      <c r="I25" s="176"/>
      <c r="J25" s="55"/>
      <c r="K25" s="50"/>
      <c r="L25" s="50"/>
      <c r="Q25" s="113" t="s">
        <v>42</v>
      </c>
      <c r="R25" s="6">
        <f>SUM(R22:R24)</f>
        <v>-251254.1119999998</v>
      </c>
      <c r="S25" s="11">
        <f aca="true" t="shared" si="41" ref="S25:AP25">SUM(S22:S24)</f>
        <v>-38750.69741794159</v>
      </c>
      <c r="T25" s="11">
        <f t="shared" si="41"/>
        <v>-38608.64100585921</v>
      </c>
      <c r="U25" s="11">
        <f t="shared" si="41"/>
        <v>-38420.403850110895</v>
      </c>
      <c r="V25" s="11">
        <f t="shared" si="41"/>
        <v>-38186.02029904776</v>
      </c>
      <c r="W25" s="11">
        <f t="shared" si="41"/>
        <v>-37905.52465568691</v>
      </c>
      <c r="X25" s="11">
        <f t="shared" si="41"/>
        <v>-37578.95117779978</v>
      </c>
      <c r="Y25" s="11">
        <f t="shared" si="41"/>
        <v>-37206.334077996384</v>
      </c>
      <c r="Z25" s="11">
        <f t="shared" si="41"/>
        <v>-36787.70752380463</v>
      </c>
      <c r="AA25" s="11">
        <f t="shared" si="41"/>
        <v>-36323.1056377586</v>
      </c>
      <c r="AB25" s="11">
        <f t="shared" si="41"/>
        <v>-35812.562497482</v>
      </c>
      <c r="AC25" s="11">
        <f t="shared" si="41"/>
        <v>-35256.11213576569</v>
      </c>
      <c r="AD25" s="11">
        <f t="shared" si="41"/>
        <v>-34653.78854065514</v>
      </c>
      <c r="AE25" s="11">
        <f t="shared" si="41"/>
        <v>-34005.625655532254</v>
      </c>
      <c r="AF25" s="11">
        <f t="shared" si="41"/>
        <v>-33311.657379198135</v>
      </c>
      <c r="AG25" s="11">
        <f t="shared" si="41"/>
        <v>-32571.917565954645</v>
      </c>
      <c r="AH25" s="11">
        <f t="shared" si="41"/>
        <v>-31786.44002568653</v>
      </c>
      <c r="AI25" s="11">
        <f t="shared" si="41"/>
        <v>-30955.25852394186</v>
      </c>
      <c r="AJ25" s="11">
        <f t="shared" si="41"/>
        <v>-30078.40678201764</v>
      </c>
      <c r="AK25" s="11">
        <f t="shared" si="41"/>
        <v>-29155.91847703933</v>
      </c>
      <c r="AL25" s="11">
        <f t="shared" si="41"/>
        <v>-28187.82724203706</v>
      </c>
      <c r="AM25" s="11">
        <f t="shared" si="41"/>
        <v>-27174.166666037025</v>
      </c>
      <c r="AN25" s="11">
        <f t="shared" si="41"/>
        <v>-26114.97029413375</v>
      </c>
      <c r="AO25" s="11">
        <f t="shared" si="41"/>
        <v>-25010.271627573333</v>
      </c>
      <c r="AP25" s="7">
        <f t="shared" si="41"/>
        <v>-23860.104123837264</v>
      </c>
      <c r="AS25" s="51"/>
      <c r="AT25" s="113" t="s">
        <v>42</v>
      </c>
      <c r="AU25" s="6">
        <f>SUM(AU22:AU24)</f>
        <v>-251254.1119999998</v>
      </c>
      <c r="AV25" s="11">
        <f aca="true" t="shared" si="42" ref="AV25:BS25">SUM(AV22:AV24)</f>
        <v>-38750.69741794159</v>
      </c>
      <c r="AW25" s="11">
        <f t="shared" si="42"/>
        <v>-38608.64100585921</v>
      </c>
      <c r="AX25" s="11">
        <f t="shared" si="42"/>
        <v>-38420.403850110895</v>
      </c>
      <c r="AY25" s="11">
        <f t="shared" si="42"/>
        <v>-38186.02029904776</v>
      </c>
      <c r="AZ25" s="11">
        <f t="shared" si="42"/>
        <v>-37905.52465568691</v>
      </c>
      <c r="BA25" s="11">
        <f t="shared" si="42"/>
        <v>-37578.95117779978</v>
      </c>
      <c r="BB25" s="11">
        <f t="shared" si="42"/>
        <v>-37206.334077996384</v>
      </c>
      <c r="BC25" s="11">
        <f t="shared" si="42"/>
        <v>-36787.70752380463</v>
      </c>
      <c r="BD25" s="11">
        <f t="shared" si="42"/>
        <v>-36323.1056377586</v>
      </c>
      <c r="BE25" s="11">
        <f t="shared" si="42"/>
        <v>-35812.562497482</v>
      </c>
      <c r="BF25" s="11">
        <f t="shared" si="42"/>
        <v>-35256.11213576569</v>
      </c>
      <c r="BG25" s="11">
        <f t="shared" si="42"/>
        <v>-34653.78854065514</v>
      </c>
      <c r="BH25" s="11">
        <f t="shared" si="42"/>
        <v>-34005.625655532254</v>
      </c>
      <c r="BI25" s="11">
        <f t="shared" si="42"/>
        <v>-33311.657379198135</v>
      </c>
      <c r="BJ25" s="11">
        <f t="shared" si="42"/>
        <v>-32571.917565954645</v>
      </c>
      <c r="BK25" s="11">
        <f t="shared" si="42"/>
        <v>-31786.44002568653</v>
      </c>
      <c r="BL25" s="11">
        <f t="shared" si="42"/>
        <v>-30955.25852394186</v>
      </c>
      <c r="BM25" s="11">
        <f t="shared" si="42"/>
        <v>-30078.40678201764</v>
      </c>
      <c r="BN25" s="11">
        <f t="shared" si="42"/>
        <v>-29155.91847703933</v>
      </c>
      <c r="BO25" s="11">
        <f t="shared" si="42"/>
        <v>-28187.82724203706</v>
      </c>
      <c r="BP25" s="11">
        <f t="shared" si="42"/>
        <v>-27174.166666037025</v>
      </c>
      <c r="BQ25" s="11">
        <f t="shared" si="42"/>
        <v>-26114.97029413375</v>
      </c>
      <c r="BR25" s="11">
        <f t="shared" si="42"/>
        <v>-25010.271627573333</v>
      </c>
      <c r="BS25" s="7">
        <f t="shared" si="42"/>
        <v>-23860.104123837264</v>
      </c>
      <c r="BT25" s="51"/>
      <c r="BV25" s="51"/>
      <c r="CW25" s="51"/>
    </row>
    <row r="26" spans="2:101" ht="39" thickBot="1">
      <c r="B26" s="51"/>
      <c r="C26" s="81" t="s">
        <v>30</v>
      </c>
      <c r="D26" s="78" t="s">
        <v>6</v>
      </c>
      <c r="E26" s="79" t="s">
        <v>7</v>
      </c>
      <c r="F26" s="80" t="s">
        <v>8</v>
      </c>
      <c r="G26" s="78" t="s">
        <v>6</v>
      </c>
      <c r="H26" s="79" t="s">
        <v>7</v>
      </c>
      <c r="I26" s="80" t="s">
        <v>8</v>
      </c>
      <c r="J26" s="81" t="s">
        <v>62</v>
      </c>
      <c r="K26" s="81" t="s">
        <v>63</v>
      </c>
      <c r="L26" s="81" t="s">
        <v>64</v>
      </c>
      <c r="M26" s="81" t="s">
        <v>76</v>
      </c>
      <c r="N26" s="55"/>
      <c r="Q26" s="113" t="s">
        <v>41</v>
      </c>
      <c r="R26" s="14">
        <v>1</v>
      </c>
      <c r="S26" s="5">
        <v>0.92</v>
      </c>
      <c r="T26" s="5">
        <f>0.92*S26</f>
        <v>0.8464</v>
      </c>
      <c r="U26" s="5">
        <f>0.92*T26</f>
        <v>0.778688</v>
      </c>
      <c r="V26" s="5">
        <f aca="true" t="shared" si="43" ref="V26:AA26">0.92*U26</f>
        <v>0.7163929600000001</v>
      </c>
      <c r="W26" s="5">
        <f t="shared" si="43"/>
        <v>0.6590815232000001</v>
      </c>
      <c r="X26" s="5">
        <f t="shared" si="43"/>
        <v>0.6063550013440001</v>
      </c>
      <c r="Y26" s="5">
        <f t="shared" si="43"/>
        <v>0.5578466012364801</v>
      </c>
      <c r="Z26" s="5">
        <f t="shared" si="43"/>
        <v>0.5132188731375618</v>
      </c>
      <c r="AA26" s="5">
        <f t="shared" si="43"/>
        <v>0.47216136328655683</v>
      </c>
      <c r="AB26" s="5">
        <f>0.92*AA26</f>
        <v>0.4343884542236323</v>
      </c>
      <c r="AC26" s="5">
        <f aca="true" t="shared" si="44" ref="AC26:AP26">0.92*AB26</f>
        <v>0.3996373778857418</v>
      </c>
      <c r="AD26" s="5">
        <f t="shared" si="44"/>
        <v>0.36766638765488246</v>
      </c>
      <c r="AE26" s="5">
        <f t="shared" si="44"/>
        <v>0.3382530766424919</v>
      </c>
      <c r="AF26" s="5">
        <f t="shared" si="44"/>
        <v>0.31119283051109253</v>
      </c>
      <c r="AG26" s="5">
        <f t="shared" si="44"/>
        <v>0.28629740407020515</v>
      </c>
      <c r="AH26" s="5">
        <f t="shared" si="44"/>
        <v>0.26339361174458875</v>
      </c>
      <c r="AI26" s="5">
        <f t="shared" si="44"/>
        <v>0.24232212280502166</v>
      </c>
      <c r="AJ26" s="5">
        <f t="shared" si="44"/>
        <v>0.22293635298061995</v>
      </c>
      <c r="AK26" s="5">
        <f t="shared" si="44"/>
        <v>0.20510144474217037</v>
      </c>
      <c r="AL26" s="5">
        <f t="shared" si="44"/>
        <v>0.18869332916279674</v>
      </c>
      <c r="AM26" s="5">
        <f t="shared" si="44"/>
        <v>0.17359786282977302</v>
      </c>
      <c r="AN26" s="5">
        <f t="shared" si="44"/>
        <v>0.1597100338033912</v>
      </c>
      <c r="AO26" s="5">
        <f t="shared" si="44"/>
        <v>0.1469332310991199</v>
      </c>
      <c r="AP26" s="10">
        <f t="shared" si="44"/>
        <v>0.13517857261119032</v>
      </c>
      <c r="AS26" s="51"/>
      <c r="AT26" s="113" t="s">
        <v>41</v>
      </c>
      <c r="AU26" s="14">
        <v>1</v>
      </c>
      <c r="AV26" s="5">
        <v>0.92</v>
      </c>
      <c r="AW26" s="5">
        <f>0.92*AV26</f>
        <v>0.8464</v>
      </c>
      <c r="AX26" s="5">
        <f>0.92*AW26</f>
        <v>0.778688</v>
      </c>
      <c r="AY26" s="5">
        <f aca="true" t="shared" si="45" ref="AY26:BD26">0.92*AX26</f>
        <v>0.7163929600000001</v>
      </c>
      <c r="AZ26" s="5">
        <f t="shared" si="45"/>
        <v>0.6590815232000001</v>
      </c>
      <c r="BA26" s="5">
        <f t="shared" si="45"/>
        <v>0.6063550013440001</v>
      </c>
      <c r="BB26" s="5">
        <f t="shared" si="45"/>
        <v>0.5578466012364801</v>
      </c>
      <c r="BC26" s="5">
        <f t="shared" si="45"/>
        <v>0.5132188731375618</v>
      </c>
      <c r="BD26" s="5">
        <f t="shared" si="45"/>
        <v>0.47216136328655683</v>
      </c>
      <c r="BE26" s="3">
        <f>0.92*BD26</f>
        <v>0.4343884542236323</v>
      </c>
      <c r="BF26" s="3">
        <f aca="true" t="shared" si="46" ref="BF26:BS26">0.92*BE26</f>
        <v>0.3996373778857418</v>
      </c>
      <c r="BG26" s="3">
        <f t="shared" si="46"/>
        <v>0.36766638765488246</v>
      </c>
      <c r="BH26" s="3">
        <f t="shared" si="46"/>
        <v>0.3382530766424919</v>
      </c>
      <c r="BI26" s="3">
        <f t="shared" si="46"/>
        <v>0.31119283051109253</v>
      </c>
      <c r="BJ26" s="3">
        <f t="shared" si="46"/>
        <v>0.28629740407020515</v>
      </c>
      <c r="BK26" s="3">
        <f t="shared" si="46"/>
        <v>0.26339361174458875</v>
      </c>
      <c r="BL26" s="3">
        <f t="shared" si="46"/>
        <v>0.24232212280502166</v>
      </c>
      <c r="BM26" s="3">
        <f t="shared" si="46"/>
        <v>0.22293635298061995</v>
      </c>
      <c r="BN26" s="3">
        <f t="shared" si="46"/>
        <v>0.20510144474217037</v>
      </c>
      <c r="BO26" s="3">
        <f t="shared" si="46"/>
        <v>0.18869332916279674</v>
      </c>
      <c r="BP26" s="3">
        <f t="shared" si="46"/>
        <v>0.17359786282977302</v>
      </c>
      <c r="BQ26" s="3">
        <f t="shared" si="46"/>
        <v>0.1597100338033912</v>
      </c>
      <c r="BR26" s="3">
        <f t="shared" si="46"/>
        <v>0.1469332310991199</v>
      </c>
      <c r="BS26" s="4">
        <f t="shared" si="46"/>
        <v>0.13517857261119032</v>
      </c>
      <c r="BT26" s="51"/>
      <c r="BV26" s="51"/>
      <c r="CW26" s="51"/>
    </row>
    <row r="27" spans="2:101" ht="15">
      <c r="B27" s="32">
        <v>2012</v>
      </c>
      <c r="C27" s="97">
        <f aca="true" t="shared" si="47" ref="C27:C35">0.4*B27-792</f>
        <v>12.800000000000068</v>
      </c>
      <c r="D27" s="83">
        <f>($H$20*365*C27/100)+J27*365*$J$20/100</f>
        <v>73743.17212000013</v>
      </c>
      <c r="E27" s="138"/>
      <c r="F27" s="166"/>
      <c r="G27" s="82">
        <f>($H$20*365*C27/100)</f>
        <v>45588.90880000024</v>
      </c>
      <c r="H27" s="138"/>
      <c r="I27" s="140"/>
      <c r="J27" s="134">
        <f>17.178*B27-34200</f>
        <v>362.1359999999986</v>
      </c>
      <c r="K27" s="138"/>
      <c r="L27" s="155"/>
      <c r="M27" s="153"/>
      <c r="N27" s="2"/>
      <c r="Q27" s="113" t="s">
        <v>40</v>
      </c>
      <c r="R27" s="6">
        <f aca="true" t="shared" si="48" ref="R27:AP27">R26*R25</f>
        <v>-251254.1119999998</v>
      </c>
      <c r="S27" s="11">
        <f t="shared" si="48"/>
        <v>-35650.641624506265</v>
      </c>
      <c r="T27" s="11">
        <f t="shared" si="48"/>
        <v>-32678.353747359237</v>
      </c>
      <c r="U27" s="11">
        <f t="shared" si="48"/>
        <v>-29917.507433235154</v>
      </c>
      <c r="V27" s="11">
        <f t="shared" si="48"/>
        <v>-27356.196112654914</v>
      </c>
      <c r="W27" s="11">
        <f t="shared" si="48"/>
        <v>-24982.830927765288</v>
      </c>
      <c r="X27" s="11">
        <f t="shared" si="48"/>
        <v>-22786.1849919209</v>
      </c>
      <c r="Y27" s="11">
        <f t="shared" si="48"/>
        <v>-20755.42700987931</v>
      </c>
      <c r="Z27" s="11">
        <f t="shared" si="48"/>
        <v>-18880.145800681214</v>
      </c>
      <c r="AA27" s="11">
        <f t="shared" si="48"/>
        <v>-17150.367076725717</v>
      </c>
      <c r="AB27" s="11">
        <f t="shared" si="48"/>
        <v>-15556.563665068432</v>
      </c>
      <c r="AC27" s="11">
        <f t="shared" si="48"/>
        <v>-14089.660208383078</v>
      </c>
      <c r="AD27" s="11">
        <f t="shared" si="48"/>
        <v>-12741.033251298837</v>
      </c>
      <c r="AE27" s="11">
        <f t="shared" si="48"/>
        <v>-11502.507501136639</v>
      </c>
      <c r="AF27" s="11">
        <f t="shared" si="48"/>
        <v>-10366.34894884839</v>
      </c>
      <c r="AG27" s="11">
        <f t="shared" si="48"/>
        <v>-9325.25544472153</v>
      </c>
      <c r="AH27" s="11">
        <f t="shared" si="48"/>
        <v>-8372.345242868334</v>
      </c>
      <c r="AI27" s="11">
        <f t="shared" si="48"/>
        <v>-7501.143957499833</v>
      </c>
      <c r="AJ27" s="11">
        <f t="shared" si="48"/>
        <v>-6705.570311450558</v>
      </c>
      <c r="AK27" s="11">
        <f t="shared" si="48"/>
        <v>-5979.921002425706</v>
      </c>
      <c r="AL27" s="11">
        <f t="shared" si="48"/>
        <v>-5318.854964165748</v>
      </c>
      <c r="AM27" s="11">
        <f t="shared" si="48"/>
        <v>-4717.377257404086</v>
      </c>
      <c r="AN27" s="11">
        <f t="shared" si="48"/>
        <v>-4170.822788450658</v>
      </c>
      <c r="AO27" s="11">
        <f t="shared" si="48"/>
        <v>-3674.840020905994</v>
      </c>
      <c r="AP27" s="7">
        <f t="shared" si="48"/>
        <v>-3225.374817814697</v>
      </c>
      <c r="AS27" s="51"/>
      <c r="AT27" s="113" t="s">
        <v>40</v>
      </c>
      <c r="AU27" s="6">
        <f aca="true" t="shared" si="49" ref="AU27:BS27">AU26*AU25</f>
        <v>-251254.1119999998</v>
      </c>
      <c r="AV27" s="11">
        <f t="shared" si="49"/>
        <v>-35650.641624506265</v>
      </c>
      <c r="AW27" s="11">
        <f t="shared" si="49"/>
        <v>-32678.353747359237</v>
      </c>
      <c r="AX27" s="11">
        <f t="shared" si="49"/>
        <v>-29917.507433235154</v>
      </c>
      <c r="AY27" s="11">
        <f t="shared" si="49"/>
        <v>-27356.196112654914</v>
      </c>
      <c r="AZ27" s="11">
        <f t="shared" si="49"/>
        <v>-24982.830927765288</v>
      </c>
      <c r="BA27" s="11">
        <f t="shared" si="49"/>
        <v>-22786.1849919209</v>
      </c>
      <c r="BB27" s="11">
        <f t="shared" si="49"/>
        <v>-20755.42700987931</v>
      </c>
      <c r="BC27" s="11">
        <f t="shared" si="49"/>
        <v>-18880.145800681214</v>
      </c>
      <c r="BD27" s="11">
        <f t="shared" si="49"/>
        <v>-17150.367076725717</v>
      </c>
      <c r="BE27" s="11">
        <f t="shared" si="49"/>
        <v>-15556.563665068432</v>
      </c>
      <c r="BF27" s="11">
        <f t="shared" si="49"/>
        <v>-14089.660208383078</v>
      </c>
      <c r="BG27" s="11">
        <f t="shared" si="49"/>
        <v>-12741.033251298837</v>
      </c>
      <c r="BH27" s="11">
        <f t="shared" si="49"/>
        <v>-11502.507501136639</v>
      </c>
      <c r="BI27" s="11">
        <f t="shared" si="49"/>
        <v>-10366.34894884839</v>
      </c>
      <c r="BJ27" s="11">
        <f t="shared" si="49"/>
        <v>-9325.25544472153</v>
      </c>
      <c r="BK27" s="11">
        <f t="shared" si="49"/>
        <v>-8372.345242868334</v>
      </c>
      <c r="BL27" s="11">
        <f t="shared" si="49"/>
        <v>-7501.143957499833</v>
      </c>
      <c r="BM27" s="11">
        <f t="shared" si="49"/>
        <v>-6705.570311450558</v>
      </c>
      <c r="BN27" s="11">
        <f t="shared" si="49"/>
        <v>-5979.921002425706</v>
      </c>
      <c r="BO27" s="11">
        <f t="shared" si="49"/>
        <v>-5318.854964165748</v>
      </c>
      <c r="BP27" s="11">
        <f t="shared" si="49"/>
        <v>-4717.377257404086</v>
      </c>
      <c r="BQ27" s="11">
        <f t="shared" si="49"/>
        <v>-4170.822788450658</v>
      </c>
      <c r="BR27" s="11">
        <f t="shared" si="49"/>
        <v>-3674.840020905994</v>
      </c>
      <c r="BS27" s="7">
        <f t="shared" si="49"/>
        <v>-3225.374817814697</v>
      </c>
      <c r="BT27" s="51"/>
      <c r="BV27" s="51"/>
      <c r="CW27" s="51"/>
    </row>
    <row r="28" spans="2:101" ht="15.75" thickBot="1">
      <c r="B28" s="33">
        <f>B27+1</f>
        <v>2013</v>
      </c>
      <c r="C28" s="98">
        <f t="shared" si="47"/>
        <v>13.200000000000045</v>
      </c>
      <c r="D28" s="14">
        <f aca="true" t="shared" si="50" ref="D28:D75">($H$20*365*C28/100)+J28*365*$J$20/100</f>
        <v>76503.32913000004</v>
      </c>
      <c r="E28" s="139"/>
      <c r="F28" s="167"/>
      <c r="G28" s="8">
        <f aca="true" t="shared" si="51" ref="G28:G75">($H$20*365*C28/100)</f>
        <v>47013.56220000015</v>
      </c>
      <c r="H28" s="139"/>
      <c r="I28" s="141"/>
      <c r="J28" s="135">
        <f aca="true" t="shared" si="52" ref="J28:J89">17.178*B28-34200</f>
        <v>379.3139999999985</v>
      </c>
      <c r="K28" s="139"/>
      <c r="L28" s="156"/>
      <c r="M28" s="154"/>
      <c r="N28" s="2"/>
      <c r="Q28" s="114" t="s">
        <v>39</v>
      </c>
      <c r="R28" s="6">
        <f>R27</f>
        <v>-251254.1119999998</v>
      </c>
      <c r="S28" s="11">
        <f aca="true" t="shared" si="53" ref="S28:AB28">R28+S27</f>
        <v>-286904.75362450606</v>
      </c>
      <c r="T28" s="11">
        <f t="shared" si="53"/>
        <v>-319583.1073718653</v>
      </c>
      <c r="U28" s="11">
        <f t="shared" si="53"/>
        <v>-349500.6148051005</v>
      </c>
      <c r="V28" s="11">
        <f t="shared" si="53"/>
        <v>-376856.8109177554</v>
      </c>
      <c r="W28" s="11">
        <f t="shared" si="53"/>
        <v>-401839.6418455207</v>
      </c>
      <c r="X28" s="11">
        <f t="shared" si="53"/>
        <v>-424625.8268374416</v>
      </c>
      <c r="Y28" s="11">
        <f t="shared" si="53"/>
        <v>-445381.2538473209</v>
      </c>
      <c r="Z28" s="11">
        <f t="shared" si="53"/>
        <v>-464261.3996480021</v>
      </c>
      <c r="AA28" s="11">
        <f t="shared" si="53"/>
        <v>-481411.7667247278</v>
      </c>
      <c r="AB28" s="11">
        <f t="shared" si="53"/>
        <v>-496968.33038979623</v>
      </c>
      <c r="AC28" s="11">
        <f aca="true" t="shared" si="54" ref="AC28:AP28">AB28+AC27</f>
        <v>-511057.9905981793</v>
      </c>
      <c r="AD28" s="11">
        <f t="shared" si="54"/>
        <v>-523799.0238494781</v>
      </c>
      <c r="AE28" s="11">
        <f t="shared" si="54"/>
        <v>-535301.5313506147</v>
      </c>
      <c r="AF28" s="11">
        <f t="shared" si="54"/>
        <v>-545667.8802994632</v>
      </c>
      <c r="AG28" s="11">
        <f t="shared" si="54"/>
        <v>-554993.1357441847</v>
      </c>
      <c r="AH28" s="11">
        <f t="shared" si="54"/>
        <v>-563365.480987053</v>
      </c>
      <c r="AI28" s="11">
        <f t="shared" si="54"/>
        <v>-570866.6249445529</v>
      </c>
      <c r="AJ28" s="11">
        <f t="shared" si="54"/>
        <v>-577572.1952560034</v>
      </c>
      <c r="AK28" s="11">
        <f t="shared" si="54"/>
        <v>-583552.1162584291</v>
      </c>
      <c r="AL28" s="11">
        <f t="shared" si="54"/>
        <v>-588870.9712225948</v>
      </c>
      <c r="AM28" s="11">
        <f t="shared" si="54"/>
        <v>-593588.3484799989</v>
      </c>
      <c r="AN28" s="11">
        <f t="shared" si="54"/>
        <v>-597759.1712684495</v>
      </c>
      <c r="AO28" s="11">
        <f t="shared" si="54"/>
        <v>-601434.0112893555</v>
      </c>
      <c r="AP28" s="7">
        <f t="shared" si="54"/>
        <v>-604659.3861071701</v>
      </c>
      <c r="AS28" s="51"/>
      <c r="AT28" s="114" t="s">
        <v>39</v>
      </c>
      <c r="AU28" s="6">
        <f>AU27</f>
        <v>-251254.1119999998</v>
      </c>
      <c r="AV28" s="11">
        <f aca="true" t="shared" si="55" ref="AV28:BS28">AU28+AV27</f>
        <v>-286904.75362450606</v>
      </c>
      <c r="AW28" s="11">
        <f t="shared" si="55"/>
        <v>-319583.1073718653</v>
      </c>
      <c r="AX28" s="11">
        <f t="shared" si="55"/>
        <v>-349500.6148051005</v>
      </c>
      <c r="AY28" s="11">
        <f t="shared" si="55"/>
        <v>-376856.8109177554</v>
      </c>
      <c r="AZ28" s="11">
        <f t="shared" si="55"/>
        <v>-401839.6418455207</v>
      </c>
      <c r="BA28" s="11">
        <f t="shared" si="55"/>
        <v>-424625.8268374416</v>
      </c>
      <c r="BB28" s="11">
        <f t="shared" si="55"/>
        <v>-445381.2538473209</v>
      </c>
      <c r="BC28" s="11">
        <f t="shared" si="55"/>
        <v>-464261.3996480021</v>
      </c>
      <c r="BD28" s="11">
        <f t="shared" si="55"/>
        <v>-481411.7667247278</v>
      </c>
      <c r="BE28" s="11">
        <f t="shared" si="55"/>
        <v>-496968.33038979623</v>
      </c>
      <c r="BF28" s="11">
        <f t="shared" si="55"/>
        <v>-511057.9905981793</v>
      </c>
      <c r="BG28" s="11">
        <f t="shared" si="55"/>
        <v>-523799.0238494781</v>
      </c>
      <c r="BH28" s="11">
        <f t="shared" si="55"/>
        <v>-535301.5313506147</v>
      </c>
      <c r="BI28" s="11">
        <f t="shared" si="55"/>
        <v>-545667.8802994632</v>
      </c>
      <c r="BJ28" s="11">
        <f t="shared" si="55"/>
        <v>-554993.1357441847</v>
      </c>
      <c r="BK28" s="11">
        <f t="shared" si="55"/>
        <v>-563365.480987053</v>
      </c>
      <c r="BL28" s="11">
        <f t="shared" si="55"/>
        <v>-570866.6249445529</v>
      </c>
      <c r="BM28" s="11">
        <f t="shared" si="55"/>
        <v>-577572.1952560034</v>
      </c>
      <c r="BN28" s="11">
        <f t="shared" si="55"/>
        <v>-583552.1162584291</v>
      </c>
      <c r="BO28" s="11">
        <f t="shared" si="55"/>
        <v>-588870.9712225948</v>
      </c>
      <c r="BP28" s="11">
        <f t="shared" si="55"/>
        <v>-593588.3484799989</v>
      </c>
      <c r="BQ28" s="11">
        <f t="shared" si="55"/>
        <v>-597759.1712684495</v>
      </c>
      <c r="BR28" s="11">
        <f t="shared" si="55"/>
        <v>-601434.0112893555</v>
      </c>
      <c r="BS28" s="7">
        <f t="shared" si="55"/>
        <v>-604659.3861071701</v>
      </c>
      <c r="BT28" s="51"/>
      <c r="BV28" s="51"/>
      <c r="CW28" s="51"/>
    </row>
    <row r="29" spans="2:101" ht="15.75" thickBot="1">
      <c r="B29" s="33">
        <f aca="true" t="shared" si="56" ref="B29:B75">B28+1</f>
        <v>2014</v>
      </c>
      <c r="C29" s="98">
        <f t="shared" si="47"/>
        <v>13.600000000000023</v>
      </c>
      <c r="D29" s="14">
        <f t="shared" si="50"/>
        <v>79263.48613999996</v>
      </c>
      <c r="E29" s="139"/>
      <c r="F29" s="167"/>
      <c r="G29" s="8">
        <f t="shared" si="51"/>
        <v>48438.21560000008</v>
      </c>
      <c r="H29" s="139"/>
      <c r="I29" s="141"/>
      <c r="J29" s="135">
        <f t="shared" si="52"/>
        <v>396.49199999999837</v>
      </c>
      <c r="K29" s="139"/>
      <c r="L29" s="156"/>
      <c r="M29" s="154"/>
      <c r="N29" s="2"/>
      <c r="Q29" s="111" t="s">
        <v>11</v>
      </c>
      <c r="R29" s="44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3"/>
      <c r="AS29" s="51"/>
      <c r="AT29" s="111" t="s">
        <v>11</v>
      </c>
      <c r="AU29" s="44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3"/>
      <c r="BT29" s="51"/>
      <c r="BV29" s="51"/>
      <c r="CW29" s="51"/>
    </row>
    <row r="30" spans="2:101" ht="15">
      <c r="B30" s="33">
        <f t="shared" si="56"/>
        <v>2015</v>
      </c>
      <c r="C30" s="98">
        <f t="shared" si="47"/>
        <v>14</v>
      </c>
      <c r="D30" s="14">
        <f t="shared" si="50"/>
        <v>82023.64314999984</v>
      </c>
      <c r="E30" s="139"/>
      <c r="F30" s="167"/>
      <c r="G30" s="8">
        <f t="shared" si="51"/>
        <v>49862.86899999999</v>
      </c>
      <c r="H30" s="139"/>
      <c r="I30" s="141"/>
      <c r="J30" s="135">
        <f t="shared" si="52"/>
        <v>413.66999999999825</v>
      </c>
      <c r="K30" s="139"/>
      <c r="L30" s="156"/>
      <c r="M30" s="154"/>
      <c r="N30" s="2"/>
      <c r="Q30" s="112" t="s">
        <v>77</v>
      </c>
      <c r="R30" s="45">
        <f>E35</f>
        <v>58045.0083000002</v>
      </c>
      <c r="S30" s="5">
        <f>E36</f>
        <v>59379.783002760596</v>
      </c>
      <c r="T30" s="5">
        <f>E37</f>
        <v>61668.156218453616</v>
      </c>
      <c r="U30" s="5">
        <f>E38</f>
        <v>63955.99417268813</v>
      </c>
      <c r="V30" s="5">
        <f>E39</f>
        <v>66243.29739477456</v>
      </c>
      <c r="W30" s="5">
        <f>E40</f>
        <v>68530.06641323383</v>
      </c>
      <c r="X30" s="5">
        <f>E41</f>
        <v>70816.30175580487</v>
      </c>
      <c r="Y30" s="5">
        <f>E42</f>
        <v>73102.00394944704</v>
      </c>
      <c r="Z30" s="5">
        <f>E43</f>
        <v>75387.1735203352</v>
      </c>
      <c r="AA30" s="5">
        <f>E44</f>
        <v>77671.81099386714</v>
      </c>
      <c r="AB30" s="5">
        <f>E45</f>
        <v>79955.91689466844</v>
      </c>
      <c r="AC30" s="5">
        <f>+E46</f>
        <v>82239.49174658269</v>
      </c>
      <c r="AD30" s="5">
        <f>+E47</f>
        <v>84522.53607268131</v>
      </c>
      <c r="AE30" s="5">
        <f>+E48</f>
        <v>86805.05039526356</v>
      </c>
      <c r="AF30" s="5">
        <f>+E49</f>
        <v>89087.03523585899</v>
      </c>
      <c r="AG30" s="5">
        <f>+E50</f>
        <v>91368.49111522749</v>
      </c>
      <c r="AH30" s="5">
        <f>+E51</f>
        <v>93649.41855336167</v>
      </c>
      <c r="AI30" s="5">
        <f>+E52</f>
        <v>95929.81806948202</v>
      </c>
      <c r="AJ30" s="5">
        <f>+E53</f>
        <v>98209.69018205168</v>
      </c>
      <c r="AK30" s="5">
        <f>+E54</f>
        <v>100489.03540877145</v>
      </c>
      <c r="AL30" s="5">
        <f>+E55</f>
        <v>102767.85426656753</v>
      </c>
      <c r="AM30" s="5">
        <f>+E56</f>
        <v>105046.14727162113</v>
      </c>
      <c r="AN30" s="5">
        <f>+E57</f>
        <v>107323.91493934614</v>
      </c>
      <c r="AO30" s="5">
        <f>+E58</f>
        <v>109601.15778439672</v>
      </c>
      <c r="AP30" s="10">
        <f>+E59</f>
        <v>111877.87632068196</v>
      </c>
      <c r="AS30" s="51"/>
      <c r="AT30" s="112" t="s">
        <v>77</v>
      </c>
      <c r="AU30" s="45">
        <f>+H35</f>
        <v>43399.376</v>
      </c>
      <c r="AV30" s="5">
        <f>+H36</f>
        <v>43527.8084747604</v>
      </c>
      <c r="AW30" s="5">
        <f>+H37</f>
        <v>44609.83946245343</v>
      </c>
      <c r="AX30" s="5">
        <f>+H38</f>
        <v>45691.33518868795</v>
      </c>
      <c r="AY30" s="5">
        <f>+H39</f>
        <v>46772.296182774386</v>
      </c>
      <c r="AZ30" s="5">
        <f>+H40</f>
        <v>47852.722973233664</v>
      </c>
      <c r="BA30" s="5">
        <f>+H41</f>
        <v>48932.616087804716</v>
      </c>
      <c r="BB30" s="5">
        <f>+H42</f>
        <v>50011.976053446895</v>
      </c>
      <c r="BC30" s="5">
        <f>+H43</f>
        <v>51090.80339633507</v>
      </c>
      <c r="BD30" s="5">
        <f>+H44</f>
        <v>52169.09864186701</v>
      </c>
      <c r="BE30" s="3">
        <f>+H45</f>
        <v>53246.86231466832</v>
      </c>
      <c r="BF30" s="3">
        <f>+H46</f>
        <v>54324.09493858257</v>
      </c>
      <c r="BG30" s="3">
        <f>+H47</f>
        <v>55400.7970366812</v>
      </c>
      <c r="BH30" s="3">
        <f>+H48</f>
        <v>56476.96913126346</v>
      </c>
      <c r="BI30" s="3">
        <f>+H49</f>
        <v>57552.611743858906</v>
      </c>
      <c r="BJ30" s="3">
        <f>+H50</f>
        <v>58627.725395227404</v>
      </c>
      <c r="BK30" s="3">
        <f>+H51</f>
        <v>59702.31060536159</v>
      </c>
      <c r="BL30" s="3">
        <f>+H52</f>
        <v>60776.36789348196</v>
      </c>
      <c r="BM30" s="3">
        <f>+H53</f>
        <v>61849.89777805163</v>
      </c>
      <c r="BN30" s="3">
        <f>+H54</f>
        <v>62922.9007767714</v>
      </c>
      <c r="BO30" s="3">
        <f>+H55</f>
        <v>63995.3774065675</v>
      </c>
      <c r="BP30" s="3">
        <f>+H56</f>
        <v>65067.328183621095</v>
      </c>
      <c r="BQ30" s="3">
        <f>+H57</f>
        <v>66138.75362334613</v>
      </c>
      <c r="BR30" s="3">
        <f>+H58</f>
        <v>67209.65424039672</v>
      </c>
      <c r="BS30" s="4">
        <f>+H59</f>
        <v>68280.03054868196</v>
      </c>
      <c r="BT30" s="51"/>
      <c r="BV30" s="51"/>
      <c r="CW30" s="51"/>
    </row>
    <row r="31" spans="2:101" ht="15">
      <c r="B31" s="33">
        <f t="shared" si="56"/>
        <v>2016</v>
      </c>
      <c r="C31" s="98">
        <f t="shared" si="47"/>
        <v>14.400000000000091</v>
      </c>
      <c r="D31" s="14">
        <f t="shared" si="50"/>
        <v>84783.80016000019</v>
      </c>
      <c r="E31" s="139"/>
      <c r="F31" s="167"/>
      <c r="G31" s="8">
        <f t="shared" si="51"/>
        <v>51287.52240000032</v>
      </c>
      <c r="H31" s="139"/>
      <c r="I31" s="141"/>
      <c r="J31" s="135">
        <f t="shared" si="52"/>
        <v>430.84799999999814</v>
      </c>
      <c r="K31" s="139"/>
      <c r="L31" s="156"/>
      <c r="M31" s="154"/>
      <c r="N31" s="2"/>
      <c r="Q31" s="113" t="s">
        <v>10</v>
      </c>
      <c r="R31" s="45">
        <v>1</v>
      </c>
      <c r="S31" s="5">
        <v>0.92</v>
      </c>
      <c r="T31" s="5">
        <f>0.92*S31</f>
        <v>0.8464</v>
      </c>
      <c r="U31" s="5">
        <f>0.92*T31</f>
        <v>0.778688</v>
      </c>
      <c r="V31" s="5">
        <f aca="true" t="shared" si="57" ref="V31:AA31">0.92*U31</f>
        <v>0.7163929600000001</v>
      </c>
      <c r="W31" s="5">
        <f t="shared" si="57"/>
        <v>0.6590815232000001</v>
      </c>
      <c r="X31" s="5">
        <f t="shared" si="57"/>
        <v>0.6063550013440001</v>
      </c>
      <c r="Y31" s="5">
        <f t="shared" si="57"/>
        <v>0.5578466012364801</v>
      </c>
      <c r="Z31" s="5">
        <f t="shared" si="57"/>
        <v>0.5132188731375618</v>
      </c>
      <c r="AA31" s="5">
        <f t="shared" si="57"/>
        <v>0.47216136328655683</v>
      </c>
      <c r="AB31" s="5">
        <f>0.92*AA31</f>
        <v>0.4343884542236323</v>
      </c>
      <c r="AC31" s="5">
        <f aca="true" t="shared" si="58" ref="AC31:AP31">0.92*AB31</f>
        <v>0.3996373778857418</v>
      </c>
      <c r="AD31" s="5">
        <f t="shared" si="58"/>
        <v>0.36766638765488246</v>
      </c>
      <c r="AE31" s="5">
        <f t="shared" si="58"/>
        <v>0.3382530766424919</v>
      </c>
      <c r="AF31" s="5">
        <f t="shared" si="58"/>
        <v>0.31119283051109253</v>
      </c>
      <c r="AG31" s="5">
        <f t="shared" si="58"/>
        <v>0.28629740407020515</v>
      </c>
      <c r="AH31" s="5">
        <f t="shared" si="58"/>
        <v>0.26339361174458875</v>
      </c>
      <c r="AI31" s="5">
        <f t="shared" si="58"/>
        <v>0.24232212280502166</v>
      </c>
      <c r="AJ31" s="5">
        <f t="shared" si="58"/>
        <v>0.22293635298061995</v>
      </c>
      <c r="AK31" s="5">
        <f t="shared" si="58"/>
        <v>0.20510144474217037</v>
      </c>
      <c r="AL31" s="5">
        <f t="shared" si="58"/>
        <v>0.18869332916279674</v>
      </c>
      <c r="AM31" s="5">
        <f t="shared" si="58"/>
        <v>0.17359786282977302</v>
      </c>
      <c r="AN31" s="5">
        <f t="shared" si="58"/>
        <v>0.1597100338033912</v>
      </c>
      <c r="AO31" s="5">
        <f t="shared" si="58"/>
        <v>0.1469332310991199</v>
      </c>
      <c r="AP31" s="10">
        <f t="shared" si="58"/>
        <v>0.13517857261119032</v>
      </c>
      <c r="AS31" s="51"/>
      <c r="AT31" s="113" t="s">
        <v>10</v>
      </c>
      <c r="AU31" s="45">
        <v>1</v>
      </c>
      <c r="AV31" s="5">
        <v>0.92</v>
      </c>
      <c r="AW31" s="5">
        <v>0.8464</v>
      </c>
      <c r="AX31" s="5">
        <v>0.778688</v>
      </c>
      <c r="AY31" s="5">
        <v>0.7163929600000001</v>
      </c>
      <c r="AZ31" s="5">
        <v>0.6590815232000001</v>
      </c>
      <c r="BA31" s="5">
        <v>0.6063550013440001</v>
      </c>
      <c r="BB31" s="5">
        <v>0.5578466012364801</v>
      </c>
      <c r="BC31" s="5">
        <v>0.5132188731375618</v>
      </c>
      <c r="BD31" s="5">
        <v>0.47216136328655683</v>
      </c>
      <c r="BE31" s="3">
        <f>BE26</f>
        <v>0.4343884542236323</v>
      </c>
      <c r="BF31" s="3">
        <f aca="true" t="shared" si="59" ref="BF31:BS31">BF26</f>
        <v>0.3996373778857418</v>
      </c>
      <c r="BG31" s="3">
        <f t="shared" si="59"/>
        <v>0.36766638765488246</v>
      </c>
      <c r="BH31" s="3">
        <f t="shared" si="59"/>
        <v>0.3382530766424919</v>
      </c>
      <c r="BI31" s="3">
        <f t="shared" si="59"/>
        <v>0.31119283051109253</v>
      </c>
      <c r="BJ31" s="3">
        <f t="shared" si="59"/>
        <v>0.28629740407020515</v>
      </c>
      <c r="BK31" s="3">
        <f t="shared" si="59"/>
        <v>0.26339361174458875</v>
      </c>
      <c r="BL31" s="3">
        <f t="shared" si="59"/>
        <v>0.24232212280502166</v>
      </c>
      <c r="BM31" s="3">
        <f t="shared" si="59"/>
        <v>0.22293635298061995</v>
      </c>
      <c r="BN31" s="3">
        <f t="shared" si="59"/>
        <v>0.20510144474217037</v>
      </c>
      <c r="BO31" s="3">
        <f t="shared" si="59"/>
        <v>0.18869332916279674</v>
      </c>
      <c r="BP31" s="3">
        <f t="shared" si="59"/>
        <v>0.17359786282977302</v>
      </c>
      <c r="BQ31" s="3">
        <f t="shared" si="59"/>
        <v>0.1597100338033912</v>
      </c>
      <c r="BR31" s="3">
        <f t="shared" si="59"/>
        <v>0.1469332310991199</v>
      </c>
      <c r="BS31" s="4">
        <f t="shared" si="59"/>
        <v>0.13517857261119032</v>
      </c>
      <c r="BT31" s="51"/>
      <c r="BV31" s="51"/>
      <c r="CW31" s="51"/>
    </row>
    <row r="32" spans="2:101" ht="15">
      <c r="B32" s="33">
        <f t="shared" si="56"/>
        <v>2017</v>
      </c>
      <c r="C32" s="98">
        <f t="shared" si="47"/>
        <v>14.800000000000068</v>
      </c>
      <c r="D32" s="14">
        <f t="shared" si="50"/>
        <v>87543.95717000066</v>
      </c>
      <c r="E32" s="139"/>
      <c r="F32" s="167"/>
      <c r="G32" s="8">
        <f t="shared" si="51"/>
        <v>52712.175800000245</v>
      </c>
      <c r="H32" s="139"/>
      <c r="I32" s="141"/>
      <c r="J32" s="135">
        <f t="shared" si="52"/>
        <v>448.0260000000053</v>
      </c>
      <c r="K32" s="139"/>
      <c r="L32" s="156"/>
      <c r="M32" s="154"/>
      <c r="N32" s="2"/>
      <c r="Q32" s="113" t="s">
        <v>43</v>
      </c>
      <c r="R32" s="6">
        <f aca="true" t="shared" si="60" ref="R32:AB32">R31*R30</f>
        <v>58045.0083000002</v>
      </c>
      <c r="S32" s="11">
        <f t="shared" si="60"/>
        <v>54629.40036253975</v>
      </c>
      <c r="T32" s="11">
        <f t="shared" si="60"/>
        <v>52195.927423299145</v>
      </c>
      <c r="U32" s="11">
        <f t="shared" si="60"/>
        <v>49801.76519034218</v>
      </c>
      <c r="V32" s="11">
        <f t="shared" si="60"/>
        <v>47456.23190080284</v>
      </c>
      <c r="W32" s="11">
        <f t="shared" si="60"/>
        <v>45166.90055663132</v>
      </c>
      <c r="X32" s="11">
        <f t="shared" si="60"/>
        <v>42939.81874631818</v>
      </c>
      <c r="Y32" s="11">
        <f t="shared" si="60"/>
        <v>40779.70444677478</v>
      </c>
      <c r="Z32" s="11">
        <f t="shared" si="60"/>
        <v>38690.12024313227</v>
      </c>
      <c r="AA32" s="11">
        <f t="shared" si="60"/>
        <v>36673.62816780008</v>
      </c>
      <c r="AB32" s="11">
        <f t="shared" si="60"/>
        <v>34731.92714590823</v>
      </c>
      <c r="AC32" s="11">
        <f aca="true" t="shared" si="61" ref="AC32:AP32">AC31*AC30</f>
        <v>32865.97484026041</v>
      </c>
      <c r="AD32" s="11">
        <f t="shared" si="61"/>
        <v>31076.095513272234</v>
      </c>
      <c r="AE32" s="11">
        <f t="shared" si="61"/>
        <v>29362.075364304455</v>
      </c>
      <c r="AF32" s="11">
        <f t="shared" si="61"/>
        <v>27723.246656888394</v>
      </c>
      <c r="AG32" s="11">
        <f t="shared" si="61"/>
        <v>26158.561820101233</v>
      </c>
      <c r="AH32" s="11">
        <f t="shared" si="61"/>
        <v>24666.65859055063</v>
      </c>
      <c r="AI32" s="11">
        <f t="shared" si="61"/>
        <v>23245.917154896408</v>
      </c>
      <c r="AJ32" s="11">
        <f t="shared" si="61"/>
        <v>21894.510156543198</v>
      </c>
      <c r="AK32" s="11">
        <f t="shared" si="61"/>
        <v>20610.44634308614</v>
      </c>
      <c r="AL32" s="11">
        <f t="shared" si="61"/>
        <v>19391.608552475755</v>
      </c>
      <c r="AM32" s="11">
        <f t="shared" si="61"/>
        <v>18235.78666485502</v>
      </c>
      <c r="AN32" s="11">
        <f t="shared" si="61"/>
        <v>17140.70608287525</v>
      </c>
      <c r="AO32" s="11">
        <f t="shared" si="61"/>
        <v>16104.052245465868</v>
      </c>
      <c r="AP32" s="7">
        <f t="shared" si="61"/>
        <v>15123.491627801075</v>
      </c>
      <c r="AS32" s="51"/>
      <c r="AT32" s="113" t="s">
        <v>43</v>
      </c>
      <c r="AU32" s="6">
        <f aca="true" t="shared" si="62" ref="AU32:BS32">AU31*AU30</f>
        <v>43399.376</v>
      </c>
      <c r="AV32" s="11">
        <f t="shared" si="62"/>
        <v>40045.58379677957</v>
      </c>
      <c r="AW32" s="11">
        <f t="shared" si="62"/>
        <v>37757.768121020585</v>
      </c>
      <c r="AX32" s="11">
        <f t="shared" si="62"/>
        <v>35579.29441540905</v>
      </c>
      <c r="AY32" s="11">
        <f t="shared" si="62"/>
        <v>33507.34370837445</v>
      </c>
      <c r="AZ32" s="11">
        <f t="shared" si="62"/>
        <v>31538.84554646648</v>
      </c>
      <c r="BA32" s="11">
        <f t="shared" si="62"/>
        <v>29670.53649368627</v>
      </c>
      <c r="BB32" s="11">
        <f t="shared" si="62"/>
        <v>27899.010862535582</v>
      </c>
      <c r="BC32" s="11">
        <f t="shared" si="62"/>
        <v>26220.764546759798</v>
      </c>
      <c r="BD32" s="11">
        <f t="shared" si="62"/>
        <v>24632.23273617479</v>
      </c>
      <c r="BE32" s="11">
        <f t="shared" si="62"/>
        <v>23129.82221312735</v>
      </c>
      <c r="BF32" s="11">
        <f t="shared" si="62"/>
        <v>21709.938857271234</v>
      </c>
      <c r="BG32" s="11">
        <f t="shared" si="62"/>
        <v>20369.010919677894</v>
      </c>
      <c r="BH32" s="11">
        <f t="shared" si="62"/>
        <v>19103.508568092908</v>
      </c>
      <c r="BI32" s="11">
        <f t="shared" si="62"/>
        <v>17909.9601518774</v>
      </c>
      <c r="BJ32" s="11">
        <f t="shared" si="62"/>
        <v>16784.96558719445</v>
      </c>
      <c r="BK32" s="11">
        <f t="shared" si="62"/>
        <v>15725.207219843454</v>
      </c>
      <c r="BL32" s="11">
        <f t="shared" si="62"/>
        <v>14727.458484327512</v>
      </c>
      <c r="BM32" s="11">
        <f t="shared" si="62"/>
        <v>13788.590642862979</v>
      </c>
      <c r="BN32" s="11">
        <f t="shared" si="62"/>
        <v>12905.577856684049</v>
      </c>
      <c r="BO32" s="11">
        <f t="shared" si="62"/>
        <v>12075.500813874847</v>
      </c>
      <c r="BP32" s="11">
        <f t="shared" si="62"/>
        <v>11295.549112720078</v>
      </c>
      <c r="BQ32" s="11">
        <f t="shared" si="62"/>
        <v>10563.022576898771</v>
      </c>
      <c r="BR32" s="11">
        <f t="shared" si="62"/>
        <v>9875.331658596155</v>
      </c>
      <c r="BS32" s="7">
        <f t="shared" si="62"/>
        <v>9229.997067419297</v>
      </c>
      <c r="BT32" s="51"/>
      <c r="BV32" s="51"/>
      <c r="CW32" s="51"/>
    </row>
    <row r="33" spans="2:101" ht="15">
      <c r="B33" s="33">
        <f t="shared" si="56"/>
        <v>2018</v>
      </c>
      <c r="C33" s="98">
        <f t="shared" si="47"/>
        <v>15.200000000000045</v>
      </c>
      <c r="D33" s="14">
        <f t="shared" si="50"/>
        <v>90304.11418000056</v>
      </c>
      <c r="E33" s="139"/>
      <c r="F33" s="167"/>
      <c r="G33" s="8">
        <f t="shared" si="51"/>
        <v>54136.82920000016</v>
      </c>
      <c r="H33" s="139"/>
      <c r="I33" s="141"/>
      <c r="J33" s="135">
        <f t="shared" si="52"/>
        <v>465.2040000000052</v>
      </c>
      <c r="K33" s="139"/>
      <c r="L33" s="156"/>
      <c r="M33" s="154"/>
      <c r="N33" s="2"/>
      <c r="Q33" s="113" t="s">
        <v>44</v>
      </c>
      <c r="R33" s="6">
        <f>R32</f>
        <v>58045.0083000002</v>
      </c>
      <c r="S33" s="11">
        <f aca="true" t="shared" si="63" ref="S33:AB33">S32+R33</f>
        <v>112674.40866253995</v>
      </c>
      <c r="T33" s="11">
        <f t="shared" si="63"/>
        <v>164870.33608583908</v>
      </c>
      <c r="U33" s="11">
        <f t="shared" si="63"/>
        <v>214672.10127618126</v>
      </c>
      <c r="V33" s="11">
        <f t="shared" si="63"/>
        <v>262128.3331769841</v>
      </c>
      <c r="W33" s="11">
        <f t="shared" si="63"/>
        <v>307295.23373361543</v>
      </c>
      <c r="X33" s="11">
        <f t="shared" si="63"/>
        <v>350235.0524799336</v>
      </c>
      <c r="Y33" s="11">
        <f t="shared" si="63"/>
        <v>391014.7569267084</v>
      </c>
      <c r="Z33" s="11">
        <f t="shared" si="63"/>
        <v>429704.8771698407</v>
      </c>
      <c r="AA33" s="11">
        <f t="shared" si="63"/>
        <v>466378.50533764076</v>
      </c>
      <c r="AB33" s="11">
        <f t="shared" si="63"/>
        <v>501110.432483549</v>
      </c>
      <c r="AC33" s="11">
        <f aca="true" t="shared" si="64" ref="AC33:AP33">AC32+AB33</f>
        <v>533976.4073238095</v>
      </c>
      <c r="AD33" s="11">
        <f t="shared" si="64"/>
        <v>565052.5028370817</v>
      </c>
      <c r="AE33" s="11">
        <f t="shared" si="64"/>
        <v>594414.5782013861</v>
      </c>
      <c r="AF33" s="11">
        <f t="shared" si="64"/>
        <v>622137.8248582745</v>
      </c>
      <c r="AG33" s="11">
        <f t="shared" si="64"/>
        <v>648296.3866783758</v>
      </c>
      <c r="AH33" s="11">
        <f t="shared" si="64"/>
        <v>672963.0452689264</v>
      </c>
      <c r="AI33" s="11">
        <f t="shared" si="64"/>
        <v>696208.9624238228</v>
      </c>
      <c r="AJ33" s="11">
        <f t="shared" si="64"/>
        <v>718103.4725803661</v>
      </c>
      <c r="AK33" s="11">
        <f t="shared" si="64"/>
        <v>738713.9189234523</v>
      </c>
      <c r="AL33" s="11">
        <f t="shared" si="64"/>
        <v>758105.5274759281</v>
      </c>
      <c r="AM33" s="11">
        <f t="shared" si="64"/>
        <v>776341.314140783</v>
      </c>
      <c r="AN33" s="11">
        <f t="shared" si="64"/>
        <v>793482.0202236583</v>
      </c>
      <c r="AO33" s="11">
        <f t="shared" si="64"/>
        <v>809586.0724691242</v>
      </c>
      <c r="AP33" s="7">
        <f t="shared" si="64"/>
        <v>824709.5640969253</v>
      </c>
      <c r="AS33" s="51"/>
      <c r="AT33" s="113" t="s">
        <v>44</v>
      </c>
      <c r="AU33" s="6">
        <f>AU32</f>
        <v>43399.376</v>
      </c>
      <c r="AV33" s="11">
        <f aca="true" t="shared" si="65" ref="AV33:BS33">AV32+AU33</f>
        <v>83444.95979677956</v>
      </c>
      <c r="AW33" s="11">
        <f t="shared" si="65"/>
        <v>121202.72791780013</v>
      </c>
      <c r="AX33" s="11">
        <f t="shared" si="65"/>
        <v>156782.02233320917</v>
      </c>
      <c r="AY33" s="11">
        <f t="shared" si="65"/>
        <v>190289.36604158362</v>
      </c>
      <c r="AZ33" s="11">
        <f t="shared" si="65"/>
        <v>221828.2115880501</v>
      </c>
      <c r="BA33" s="11">
        <f t="shared" si="65"/>
        <v>251498.74808173635</v>
      </c>
      <c r="BB33" s="11">
        <f t="shared" si="65"/>
        <v>279397.75894427195</v>
      </c>
      <c r="BC33" s="11">
        <f t="shared" si="65"/>
        <v>305618.5234910317</v>
      </c>
      <c r="BD33" s="11">
        <f t="shared" si="65"/>
        <v>330250.7562272065</v>
      </c>
      <c r="BE33" s="11">
        <f t="shared" si="65"/>
        <v>353380.57844033383</v>
      </c>
      <c r="BF33" s="11">
        <f t="shared" si="65"/>
        <v>375090.51729760505</v>
      </c>
      <c r="BG33" s="11">
        <f t="shared" si="65"/>
        <v>395459.52821728296</v>
      </c>
      <c r="BH33" s="11">
        <f t="shared" si="65"/>
        <v>414563.03678537585</v>
      </c>
      <c r="BI33" s="11">
        <f t="shared" si="65"/>
        <v>432472.9969372533</v>
      </c>
      <c r="BJ33" s="11">
        <f t="shared" si="65"/>
        <v>449257.9625244477</v>
      </c>
      <c r="BK33" s="11">
        <f t="shared" si="65"/>
        <v>464983.16974429117</v>
      </c>
      <c r="BL33" s="11">
        <f t="shared" si="65"/>
        <v>479710.6282286187</v>
      </c>
      <c r="BM33" s="11">
        <f t="shared" si="65"/>
        <v>493499.21887148166</v>
      </c>
      <c r="BN33" s="11">
        <f t="shared" si="65"/>
        <v>506404.7967281657</v>
      </c>
      <c r="BO33" s="11">
        <f t="shared" si="65"/>
        <v>518480.2975420405</v>
      </c>
      <c r="BP33" s="11">
        <f t="shared" si="65"/>
        <v>529775.8466547607</v>
      </c>
      <c r="BQ33" s="11">
        <f t="shared" si="65"/>
        <v>540338.8692316595</v>
      </c>
      <c r="BR33" s="11">
        <f t="shared" si="65"/>
        <v>550214.2008902556</v>
      </c>
      <c r="BS33" s="7">
        <f t="shared" si="65"/>
        <v>559444.197957675</v>
      </c>
      <c r="BT33" s="51"/>
      <c r="BV33" s="51"/>
      <c r="CW33" s="51"/>
    </row>
    <row r="34" spans="2:101" ht="15.75" thickBot="1">
      <c r="B34" s="33">
        <f t="shared" si="56"/>
        <v>2019</v>
      </c>
      <c r="C34" s="98">
        <f t="shared" si="47"/>
        <v>15.600000000000023</v>
      </c>
      <c r="D34" s="14">
        <f t="shared" si="50"/>
        <v>93064.27119000048</v>
      </c>
      <c r="E34" s="139"/>
      <c r="F34" s="167"/>
      <c r="G34" s="8">
        <f t="shared" si="51"/>
        <v>55561.48260000008</v>
      </c>
      <c r="H34" s="139"/>
      <c r="I34" s="141"/>
      <c r="J34" s="135">
        <f t="shared" si="52"/>
        <v>482.38200000000506</v>
      </c>
      <c r="K34" s="139"/>
      <c r="L34" s="156"/>
      <c r="M34" s="154"/>
      <c r="N34" s="2"/>
      <c r="Q34" s="115" t="s">
        <v>45</v>
      </c>
      <c r="R34" s="46">
        <f>(R33+R28)/1000</f>
        <v>-193.2091036999996</v>
      </c>
      <c r="S34" s="41">
        <f aca="true" t="shared" si="66" ref="S34:AB34">(S33+S28)/1000</f>
        <v>-174.2303449619661</v>
      </c>
      <c r="T34" s="41">
        <f t="shared" si="66"/>
        <v>-154.71277128602622</v>
      </c>
      <c r="U34" s="41">
        <f t="shared" si="66"/>
        <v>-134.82851352891922</v>
      </c>
      <c r="V34" s="41">
        <f t="shared" si="66"/>
        <v>-114.72847774077131</v>
      </c>
      <c r="W34" s="41">
        <f t="shared" si="66"/>
        <v>-94.54440811190527</v>
      </c>
      <c r="X34" s="41">
        <f t="shared" si="66"/>
        <v>-74.390774357508</v>
      </c>
      <c r="Y34" s="41">
        <f t="shared" si="66"/>
        <v>-54.366496920612526</v>
      </c>
      <c r="Z34" s="41">
        <f t="shared" si="66"/>
        <v>-34.55652247816144</v>
      </c>
      <c r="AA34" s="41">
        <f t="shared" si="66"/>
        <v>-15.033261387087055</v>
      </c>
      <c r="AB34" s="41">
        <f t="shared" si="66"/>
        <v>4.142102093752765</v>
      </c>
      <c r="AC34" s="41">
        <f aca="true" t="shared" si="67" ref="AC34:AP34">(AC33+AC28)/1000</f>
        <v>22.918416725630173</v>
      </c>
      <c r="AD34" s="41">
        <f t="shared" si="67"/>
        <v>41.253478987603565</v>
      </c>
      <c r="AE34" s="41">
        <f t="shared" si="67"/>
        <v>59.11304685077141</v>
      </c>
      <c r="AF34" s="41">
        <f t="shared" si="67"/>
        <v>76.46994455881138</v>
      </c>
      <c r="AG34" s="41">
        <f t="shared" si="67"/>
        <v>93.30325093419104</v>
      </c>
      <c r="AH34" s="41">
        <f t="shared" si="67"/>
        <v>109.5975642818734</v>
      </c>
      <c r="AI34" s="41">
        <f t="shared" si="67"/>
        <v>125.34233747926994</v>
      </c>
      <c r="AJ34" s="41">
        <f t="shared" si="67"/>
        <v>140.53127732436266</v>
      </c>
      <c r="AK34" s="41">
        <f t="shared" si="67"/>
        <v>155.16180266502315</v>
      </c>
      <c r="AL34" s="41">
        <f t="shared" si="67"/>
        <v>169.23455625333324</v>
      </c>
      <c r="AM34" s="41">
        <f t="shared" si="67"/>
        <v>182.75296566078416</v>
      </c>
      <c r="AN34" s="41">
        <f t="shared" si="67"/>
        <v>195.72284895520878</v>
      </c>
      <c r="AO34" s="41">
        <f t="shared" si="67"/>
        <v>208.15206117976876</v>
      </c>
      <c r="AP34" s="42">
        <f t="shared" si="67"/>
        <v>220.05017798975518</v>
      </c>
      <c r="AS34" s="51"/>
      <c r="AT34" s="115" t="s">
        <v>45</v>
      </c>
      <c r="AU34" s="46">
        <f aca="true" t="shared" si="68" ref="AU34:BS34">(AU33+AU28)/1000</f>
        <v>-207.8547359999998</v>
      </c>
      <c r="AV34" s="41">
        <f t="shared" si="68"/>
        <v>-203.45979382772651</v>
      </c>
      <c r="AW34" s="41">
        <f t="shared" si="68"/>
        <v>-198.38037945406518</v>
      </c>
      <c r="AX34" s="41">
        <f t="shared" si="68"/>
        <v>-192.71859247189133</v>
      </c>
      <c r="AY34" s="41">
        <f t="shared" si="68"/>
        <v>-186.5674448761718</v>
      </c>
      <c r="AZ34" s="41">
        <f t="shared" si="68"/>
        <v>-180.0114302574706</v>
      </c>
      <c r="BA34" s="41">
        <f t="shared" si="68"/>
        <v>-173.12707875570524</v>
      </c>
      <c r="BB34" s="41">
        <f t="shared" si="68"/>
        <v>-165.98349490304898</v>
      </c>
      <c r="BC34" s="41">
        <f t="shared" si="68"/>
        <v>-158.6428761569704</v>
      </c>
      <c r="BD34" s="41">
        <f t="shared" si="68"/>
        <v>-151.16101049752132</v>
      </c>
      <c r="BE34" s="41">
        <f t="shared" si="68"/>
        <v>-143.5877519494624</v>
      </c>
      <c r="BF34" s="41">
        <f t="shared" si="68"/>
        <v>-135.96747330057423</v>
      </c>
      <c r="BG34" s="41">
        <f t="shared" si="68"/>
        <v>-128.33949563219514</v>
      </c>
      <c r="BH34" s="41">
        <f t="shared" si="68"/>
        <v>-120.73849456523888</v>
      </c>
      <c r="BI34" s="41">
        <f t="shared" si="68"/>
        <v>-113.1948833622099</v>
      </c>
      <c r="BJ34" s="41">
        <f t="shared" si="68"/>
        <v>-105.73517321973702</v>
      </c>
      <c r="BK34" s="41">
        <f t="shared" si="68"/>
        <v>-98.38231124276184</v>
      </c>
      <c r="BL34" s="41">
        <f t="shared" si="68"/>
        <v>-91.1559967159342</v>
      </c>
      <c r="BM34" s="41">
        <f t="shared" si="68"/>
        <v>-84.07297638452175</v>
      </c>
      <c r="BN34" s="41">
        <f t="shared" si="68"/>
        <v>-77.14731953026343</v>
      </c>
      <c r="BO34" s="41">
        <f t="shared" si="68"/>
        <v>-70.39067368055431</v>
      </c>
      <c r="BP34" s="41">
        <f t="shared" si="68"/>
        <v>-63.81250182523823</v>
      </c>
      <c r="BQ34" s="41">
        <f t="shared" si="68"/>
        <v>-57.42030203679006</v>
      </c>
      <c r="BR34" s="41">
        <f t="shared" si="68"/>
        <v>-51.219810399099835</v>
      </c>
      <c r="BS34" s="42">
        <f t="shared" si="68"/>
        <v>-45.21518814949517</v>
      </c>
      <c r="BT34" s="51"/>
      <c r="BV34" s="51"/>
      <c r="CW34" s="51"/>
    </row>
    <row r="35" spans="2:101" ht="15.75" thickBot="1">
      <c r="B35" s="33">
        <f t="shared" si="56"/>
        <v>2020</v>
      </c>
      <c r="C35" s="98">
        <f t="shared" si="47"/>
        <v>16</v>
      </c>
      <c r="D35" s="14">
        <f t="shared" si="50"/>
        <v>95824.42820000037</v>
      </c>
      <c r="E35" s="5">
        <f>+$H$21*365*C35/100+K35*365*$J$21/100</f>
        <v>58045.0083000002</v>
      </c>
      <c r="F35" s="167"/>
      <c r="G35" s="8">
        <f t="shared" si="51"/>
        <v>56986.136</v>
      </c>
      <c r="H35" s="5">
        <f aca="true" t="shared" si="69" ref="H35:H75">+$H$21*365*C35/100</f>
        <v>43399.376</v>
      </c>
      <c r="I35" s="141"/>
      <c r="J35" s="135">
        <f t="shared" si="52"/>
        <v>499.56000000000495</v>
      </c>
      <c r="K35" s="3">
        <f>17.178*B35-34491.01</f>
        <v>208.5500000000029</v>
      </c>
      <c r="L35" s="156"/>
      <c r="M35" s="154"/>
      <c r="N35" s="2"/>
      <c r="AS35" s="51"/>
      <c r="BT35" s="51"/>
      <c r="BV35" s="51"/>
      <c r="CW35" s="51"/>
    </row>
    <row r="36" spans="2:101" ht="15.75" thickBot="1">
      <c r="B36" s="33">
        <f t="shared" si="56"/>
        <v>2021</v>
      </c>
      <c r="C36" s="99">
        <v>16.047349058570944</v>
      </c>
      <c r="D36" s="14">
        <f t="shared" si="50"/>
        <v>97328.57180320012</v>
      </c>
      <c r="E36" s="5">
        <f aca="true" t="shared" si="70" ref="E36:E89">+$H$21*365*C36/100+K36*365*$J$21/100</f>
        <v>59379.783002760596</v>
      </c>
      <c r="F36" s="167"/>
      <c r="G36" s="8">
        <f t="shared" si="51"/>
        <v>57154.77599319973</v>
      </c>
      <c r="H36" s="5">
        <f t="shared" si="69"/>
        <v>43527.8084747604</v>
      </c>
      <c r="I36" s="141"/>
      <c r="J36" s="135">
        <f t="shared" si="52"/>
        <v>516.7380000000048</v>
      </c>
      <c r="K36" s="3">
        <f aca="true" t="shared" si="71" ref="K36:K89">17.178*B36-34491.01</f>
        <v>225.7280000000028</v>
      </c>
      <c r="L36" s="156"/>
      <c r="M36" s="154"/>
      <c r="N36" s="2"/>
      <c r="Q36" s="108" t="s">
        <v>8</v>
      </c>
      <c r="R36" s="177" t="s">
        <v>0</v>
      </c>
      <c r="S36" s="178"/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9"/>
      <c r="AS36" s="51"/>
      <c r="AT36" s="109" t="s">
        <v>8</v>
      </c>
      <c r="AU36" s="169" t="s">
        <v>0</v>
      </c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70"/>
      <c r="BO36" s="170"/>
      <c r="BP36" s="170"/>
      <c r="BQ36" s="170"/>
      <c r="BR36" s="170"/>
      <c r="BS36" s="171"/>
      <c r="BT36" s="51"/>
      <c r="BV36" s="51"/>
      <c r="CW36" s="51"/>
    </row>
    <row r="37" spans="2:101" ht="15.75" thickBot="1">
      <c r="B37" s="33">
        <f t="shared" si="56"/>
        <v>2022</v>
      </c>
      <c r="C37" s="99">
        <v>16.446260227318817</v>
      </c>
      <c r="D37" s="14">
        <f t="shared" si="50"/>
        <v>100084.85079533668</v>
      </c>
      <c r="E37" s="5">
        <f t="shared" si="70"/>
        <v>61668.156218453616</v>
      </c>
      <c r="F37" s="167"/>
      <c r="G37" s="8">
        <f t="shared" si="51"/>
        <v>58575.55137533631</v>
      </c>
      <c r="H37" s="5">
        <f t="shared" si="69"/>
        <v>44609.83946245343</v>
      </c>
      <c r="I37" s="141"/>
      <c r="J37" s="135">
        <f t="shared" si="52"/>
        <v>533.9160000000047</v>
      </c>
      <c r="K37" s="3">
        <f t="shared" si="71"/>
        <v>242.90600000000268</v>
      </c>
      <c r="L37" s="156"/>
      <c r="M37" s="154"/>
      <c r="N37" s="2"/>
      <c r="Q37" s="110" t="s">
        <v>9</v>
      </c>
      <c r="R37" s="102">
        <v>2050</v>
      </c>
      <c r="S37" s="103">
        <v>2051</v>
      </c>
      <c r="T37" s="103">
        <v>2052</v>
      </c>
      <c r="U37" s="103">
        <v>2053</v>
      </c>
      <c r="V37" s="103">
        <v>2054</v>
      </c>
      <c r="W37" s="103">
        <v>2055</v>
      </c>
      <c r="X37" s="103">
        <v>2056</v>
      </c>
      <c r="Y37" s="103">
        <v>2057</v>
      </c>
      <c r="Z37" s="103">
        <v>2058</v>
      </c>
      <c r="AA37" s="103">
        <v>2059</v>
      </c>
      <c r="AB37" s="103">
        <v>2060</v>
      </c>
      <c r="AC37" s="103">
        <v>2061</v>
      </c>
      <c r="AD37" s="103">
        <v>2062</v>
      </c>
      <c r="AE37" s="103">
        <v>2063</v>
      </c>
      <c r="AF37" s="103">
        <v>2064</v>
      </c>
      <c r="AG37" s="103">
        <v>2065</v>
      </c>
      <c r="AH37" s="103">
        <v>2066</v>
      </c>
      <c r="AI37" s="103">
        <v>2067</v>
      </c>
      <c r="AJ37" s="103">
        <v>2068</v>
      </c>
      <c r="AK37" s="103">
        <v>2069</v>
      </c>
      <c r="AL37" s="103">
        <v>2070</v>
      </c>
      <c r="AM37" s="103">
        <v>2071</v>
      </c>
      <c r="AN37" s="103">
        <v>2072</v>
      </c>
      <c r="AO37" s="103">
        <v>2073</v>
      </c>
      <c r="AP37" s="104">
        <v>2074</v>
      </c>
      <c r="AS37" s="51"/>
      <c r="AT37" s="110" t="s">
        <v>9</v>
      </c>
      <c r="AU37" s="107">
        <v>2050</v>
      </c>
      <c r="AV37" s="72">
        <v>2051</v>
      </c>
      <c r="AW37" s="72">
        <v>2052</v>
      </c>
      <c r="AX37" s="72">
        <v>2053</v>
      </c>
      <c r="AY37" s="72">
        <v>2054</v>
      </c>
      <c r="AZ37" s="72">
        <v>2055</v>
      </c>
      <c r="BA37" s="72">
        <v>2056</v>
      </c>
      <c r="BB37" s="72">
        <v>2057</v>
      </c>
      <c r="BC37" s="72">
        <v>2058</v>
      </c>
      <c r="BD37" s="72">
        <v>2059</v>
      </c>
      <c r="BE37" s="72">
        <v>2060</v>
      </c>
      <c r="BF37" s="72">
        <v>2061</v>
      </c>
      <c r="BG37" s="72">
        <v>2062</v>
      </c>
      <c r="BH37" s="72">
        <v>2063</v>
      </c>
      <c r="BI37" s="72">
        <v>2064</v>
      </c>
      <c r="BJ37" s="72">
        <v>2065</v>
      </c>
      <c r="BK37" s="72">
        <v>2066</v>
      </c>
      <c r="BL37" s="72">
        <v>2067</v>
      </c>
      <c r="BM37" s="72">
        <v>2068</v>
      </c>
      <c r="BN37" s="72">
        <v>2069</v>
      </c>
      <c r="BO37" s="72">
        <v>2070</v>
      </c>
      <c r="BP37" s="72">
        <v>2071</v>
      </c>
      <c r="BQ37" s="72">
        <v>2072</v>
      </c>
      <c r="BR37" s="72">
        <v>2073</v>
      </c>
      <c r="BS37" s="73">
        <v>2074</v>
      </c>
      <c r="BT37" s="51"/>
      <c r="BV37" s="51"/>
      <c r="CW37" s="51"/>
    </row>
    <row r="38" spans="2:101" ht="15">
      <c r="B38" s="33">
        <f t="shared" si="56"/>
        <v>2023</v>
      </c>
      <c r="C38" s="99">
        <v>16.844974061816174</v>
      </c>
      <c r="D38" s="14">
        <f t="shared" si="50"/>
        <v>102840.4269551959</v>
      </c>
      <c r="E38" s="5">
        <f t="shared" si="70"/>
        <v>63955.99417268813</v>
      </c>
      <c r="F38" s="167"/>
      <c r="G38" s="8">
        <f t="shared" si="51"/>
        <v>59995.62392519555</v>
      </c>
      <c r="H38" s="5">
        <f t="shared" si="69"/>
        <v>45691.33518868795</v>
      </c>
      <c r="I38" s="141"/>
      <c r="J38" s="135">
        <f t="shared" si="52"/>
        <v>551.0940000000046</v>
      </c>
      <c r="K38" s="3">
        <f t="shared" si="71"/>
        <v>260.08400000000256</v>
      </c>
      <c r="L38" s="156"/>
      <c r="M38" s="154"/>
      <c r="N38" s="2"/>
      <c r="Q38" s="112" t="s">
        <v>37</v>
      </c>
      <c r="R38" s="43">
        <f>-E22</f>
        <v>-84420</v>
      </c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9"/>
      <c r="AS38" s="51"/>
      <c r="AT38" s="112" t="s">
        <v>37</v>
      </c>
      <c r="AU38" s="43">
        <f>-E22</f>
        <v>-84420</v>
      </c>
      <c r="AV38" s="38"/>
      <c r="AW38" s="38"/>
      <c r="AX38" s="38"/>
      <c r="AY38" s="38"/>
      <c r="AZ38" s="38"/>
      <c r="BA38" s="38"/>
      <c r="BB38" s="38"/>
      <c r="BC38" s="38"/>
      <c r="BD38" s="38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6"/>
      <c r="BT38" s="51"/>
      <c r="BV38" s="51"/>
      <c r="CW38" s="51"/>
    </row>
    <row r="39" spans="2:101" ht="15">
      <c r="B39" s="33">
        <f t="shared" si="56"/>
        <v>2024</v>
      </c>
      <c r="C39" s="99">
        <v>17.24349075720329</v>
      </c>
      <c r="D39" s="14">
        <f t="shared" si="50"/>
        <v>105595.30097779595</v>
      </c>
      <c r="E39" s="5">
        <f t="shared" si="70"/>
        <v>66243.29739477456</v>
      </c>
      <c r="F39" s="167"/>
      <c r="G39" s="8">
        <f t="shared" si="51"/>
        <v>61414.9943377956</v>
      </c>
      <c r="H39" s="5">
        <f t="shared" si="69"/>
        <v>46772.296182774386</v>
      </c>
      <c r="I39" s="141"/>
      <c r="J39" s="135">
        <f t="shared" si="52"/>
        <v>568.2720000000045</v>
      </c>
      <c r="K39" s="3">
        <f t="shared" si="71"/>
        <v>277.26200000000244</v>
      </c>
      <c r="L39" s="156"/>
      <c r="M39" s="154"/>
      <c r="N39" s="2"/>
      <c r="Q39" s="113" t="s">
        <v>38</v>
      </c>
      <c r="R39" s="37"/>
      <c r="S39" s="16">
        <f aca="true" t="shared" si="72" ref="S39:AB39">-0.03*$C$22*$C$5</f>
        <v>-2520</v>
      </c>
      <c r="T39" s="16">
        <f t="shared" si="72"/>
        <v>-2520</v>
      </c>
      <c r="U39" s="16">
        <f t="shared" si="72"/>
        <v>-2520</v>
      </c>
      <c r="V39" s="16">
        <f t="shared" si="72"/>
        <v>-2520</v>
      </c>
      <c r="W39" s="16">
        <f t="shared" si="72"/>
        <v>-2520</v>
      </c>
      <c r="X39" s="16">
        <f t="shared" si="72"/>
        <v>-2520</v>
      </c>
      <c r="Y39" s="16">
        <f t="shared" si="72"/>
        <v>-2520</v>
      </c>
      <c r="Z39" s="16">
        <f t="shared" si="72"/>
        <v>-2520</v>
      </c>
      <c r="AA39" s="16">
        <f t="shared" si="72"/>
        <v>-2520</v>
      </c>
      <c r="AB39" s="16">
        <f t="shared" si="72"/>
        <v>-2520</v>
      </c>
      <c r="AC39" s="16">
        <f aca="true" t="shared" si="73" ref="AC39:AP39">-0.03*$C$22*$C$5</f>
        <v>-2520</v>
      </c>
      <c r="AD39" s="16">
        <f t="shared" si="73"/>
        <v>-2520</v>
      </c>
      <c r="AE39" s="16">
        <f t="shared" si="73"/>
        <v>-2520</v>
      </c>
      <c r="AF39" s="16">
        <f t="shared" si="73"/>
        <v>-2520</v>
      </c>
      <c r="AG39" s="16">
        <f t="shared" si="73"/>
        <v>-2520</v>
      </c>
      <c r="AH39" s="16">
        <f t="shared" si="73"/>
        <v>-2520</v>
      </c>
      <c r="AI39" s="16">
        <f t="shared" si="73"/>
        <v>-2520</v>
      </c>
      <c r="AJ39" s="16">
        <f t="shared" si="73"/>
        <v>-2520</v>
      </c>
      <c r="AK39" s="16">
        <f t="shared" si="73"/>
        <v>-2520</v>
      </c>
      <c r="AL39" s="16">
        <f t="shared" si="73"/>
        <v>-2520</v>
      </c>
      <c r="AM39" s="16">
        <f t="shared" si="73"/>
        <v>-2520</v>
      </c>
      <c r="AN39" s="16">
        <f t="shared" si="73"/>
        <v>-2520</v>
      </c>
      <c r="AO39" s="16">
        <f t="shared" si="73"/>
        <v>-2520</v>
      </c>
      <c r="AP39" s="40">
        <f t="shared" si="73"/>
        <v>-2520</v>
      </c>
      <c r="AS39" s="51"/>
      <c r="AT39" s="113" t="s">
        <v>38</v>
      </c>
      <c r="AU39" s="37"/>
      <c r="AV39" s="16">
        <f aca="true" t="shared" si="74" ref="AV39:BE39">-0.03*$C$22*$C$5</f>
        <v>-2520</v>
      </c>
      <c r="AW39" s="16">
        <f t="shared" si="74"/>
        <v>-2520</v>
      </c>
      <c r="AX39" s="16">
        <f t="shared" si="74"/>
        <v>-2520</v>
      </c>
      <c r="AY39" s="16">
        <f t="shared" si="74"/>
        <v>-2520</v>
      </c>
      <c r="AZ39" s="16">
        <f t="shared" si="74"/>
        <v>-2520</v>
      </c>
      <c r="BA39" s="16">
        <f t="shared" si="74"/>
        <v>-2520</v>
      </c>
      <c r="BB39" s="16">
        <f t="shared" si="74"/>
        <v>-2520</v>
      </c>
      <c r="BC39" s="16">
        <f t="shared" si="74"/>
        <v>-2520</v>
      </c>
      <c r="BD39" s="16">
        <f t="shared" si="74"/>
        <v>-2520</v>
      </c>
      <c r="BE39" s="16">
        <f t="shared" si="74"/>
        <v>-2520</v>
      </c>
      <c r="BF39" s="16">
        <f aca="true" t="shared" si="75" ref="BF39:BS39">-0.03*$C$22*$C$5</f>
        <v>-2520</v>
      </c>
      <c r="BG39" s="16">
        <f t="shared" si="75"/>
        <v>-2520</v>
      </c>
      <c r="BH39" s="16">
        <f t="shared" si="75"/>
        <v>-2520</v>
      </c>
      <c r="BI39" s="16">
        <f t="shared" si="75"/>
        <v>-2520</v>
      </c>
      <c r="BJ39" s="16">
        <f t="shared" si="75"/>
        <v>-2520</v>
      </c>
      <c r="BK39" s="16">
        <f t="shared" si="75"/>
        <v>-2520</v>
      </c>
      <c r="BL39" s="16">
        <f t="shared" si="75"/>
        <v>-2520</v>
      </c>
      <c r="BM39" s="16">
        <f t="shared" si="75"/>
        <v>-2520</v>
      </c>
      <c r="BN39" s="16">
        <f t="shared" si="75"/>
        <v>-2520</v>
      </c>
      <c r="BO39" s="16">
        <f t="shared" si="75"/>
        <v>-2520</v>
      </c>
      <c r="BP39" s="16">
        <f t="shared" si="75"/>
        <v>-2520</v>
      </c>
      <c r="BQ39" s="16">
        <f t="shared" si="75"/>
        <v>-2520</v>
      </c>
      <c r="BR39" s="16">
        <f t="shared" si="75"/>
        <v>-2520</v>
      </c>
      <c r="BS39" s="40">
        <f t="shared" si="75"/>
        <v>-2520</v>
      </c>
      <c r="BT39" s="51"/>
      <c r="BV39" s="51"/>
      <c r="CW39" s="51"/>
    </row>
    <row r="40" spans="2:101" ht="15">
      <c r="B40" s="33">
        <f t="shared" si="56"/>
        <v>2025</v>
      </c>
      <c r="C40" s="99">
        <v>17.6418105083294</v>
      </c>
      <c r="D40" s="14">
        <f t="shared" si="50"/>
        <v>108349.47355711836</v>
      </c>
      <c r="E40" s="5">
        <f t="shared" si="70"/>
        <v>68530.06641323383</v>
      </c>
      <c r="F40" s="167"/>
      <c r="G40" s="8">
        <f t="shared" si="51"/>
        <v>62833.66330711802</v>
      </c>
      <c r="H40" s="5">
        <f t="shared" si="69"/>
        <v>47852.722973233664</v>
      </c>
      <c r="I40" s="141"/>
      <c r="J40" s="135">
        <f t="shared" si="52"/>
        <v>585.4500000000044</v>
      </c>
      <c r="K40" s="3">
        <f t="shared" si="71"/>
        <v>294.4400000000023</v>
      </c>
      <c r="L40" s="156"/>
      <c r="M40" s="154"/>
      <c r="N40" s="2"/>
      <c r="Q40" s="113" t="s">
        <v>32</v>
      </c>
      <c r="R40" s="37">
        <f>-I149</f>
        <v>-15814.889648222588</v>
      </c>
      <c r="S40" s="16">
        <f>-I150</f>
        <v>-14476.768860599856</v>
      </c>
      <c r="T40" s="16">
        <f>-I151</f>
        <v>-13050.860196399915</v>
      </c>
      <c r="U40" s="16">
        <f>-I152</f>
        <v>-11579.456282399588</v>
      </c>
      <c r="V40" s="16">
        <f>-I153</f>
        <v>-10062.557118599638</v>
      </c>
      <c r="W40" s="16">
        <f>-I154</f>
        <v>-8500.162704999688</v>
      </c>
      <c r="X40" s="16">
        <f>-I155</f>
        <v>-6892.273041599709</v>
      </c>
      <c r="Y40" s="16">
        <f>-I156</f>
        <v>-5238.888128399763</v>
      </c>
      <c r="Z40" s="16">
        <f>-I157</f>
        <v>-3540.0079653998155</v>
      </c>
      <c r="AA40" s="16">
        <f>-I158</f>
        <v>-1795.6325525998664</v>
      </c>
      <c r="AB40" s="16">
        <f>-I159</f>
        <v>-5.761889999916154</v>
      </c>
      <c r="AC40" s="16">
        <f>-I160</f>
        <v>0</v>
      </c>
      <c r="AD40" s="16">
        <f>-I161</f>
        <v>0</v>
      </c>
      <c r="AE40" s="16">
        <f>-I162</f>
        <v>0</v>
      </c>
      <c r="AF40" s="16">
        <f>-I163</f>
        <v>0</v>
      </c>
      <c r="AG40" s="16">
        <f>-I164</f>
        <v>0</v>
      </c>
      <c r="AH40" s="16">
        <f>-I165</f>
        <v>0</v>
      </c>
      <c r="AI40" s="16">
        <f>-I166</f>
        <v>0</v>
      </c>
      <c r="AJ40" s="16">
        <f>-I167</f>
        <v>0</v>
      </c>
      <c r="AK40" s="16">
        <f>-I168</f>
        <v>0</v>
      </c>
      <c r="AL40" s="16">
        <f>-I169</f>
        <v>0</v>
      </c>
      <c r="AM40" s="16">
        <f>-I170</f>
        <v>0</v>
      </c>
      <c r="AN40" s="16">
        <f>-I171</f>
        <v>0</v>
      </c>
      <c r="AO40" s="16">
        <f>-I172</f>
        <v>0</v>
      </c>
      <c r="AP40" s="40">
        <f>-I173</f>
        <v>0</v>
      </c>
      <c r="AS40" s="51"/>
      <c r="AT40" s="113" t="s">
        <v>32</v>
      </c>
      <c r="AU40" s="37">
        <v>-15814.8896482226</v>
      </c>
      <c r="AV40" s="16">
        <v>-14476.768860599856</v>
      </c>
      <c r="AW40" s="16">
        <v>-13050.860196399915</v>
      </c>
      <c r="AX40" s="16">
        <v>-11579.456282399588</v>
      </c>
      <c r="AY40" s="16">
        <v>-10062.557118599638</v>
      </c>
      <c r="AZ40" s="16">
        <v>-8500.162704999688</v>
      </c>
      <c r="BA40" s="16">
        <v>-6892.273041599709</v>
      </c>
      <c r="BB40" s="16">
        <v>-5238.888128399763</v>
      </c>
      <c r="BC40" s="16">
        <v>-3540.0079653998155</v>
      </c>
      <c r="BD40" s="16">
        <v>-1795.6325525998664</v>
      </c>
      <c r="BE40" s="16">
        <v>-5.761889999916154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16">
        <v>0</v>
      </c>
      <c r="BP40" s="16">
        <v>0</v>
      </c>
      <c r="BQ40" s="16">
        <v>0</v>
      </c>
      <c r="BR40" s="16">
        <v>0</v>
      </c>
      <c r="BS40" s="40">
        <v>0</v>
      </c>
      <c r="BT40" s="51"/>
      <c r="BV40" s="51"/>
      <c r="CW40" s="51"/>
    </row>
    <row r="41" spans="2:101" ht="15">
      <c r="B41" s="33">
        <f t="shared" si="56"/>
        <v>2026</v>
      </c>
      <c r="C41" s="99">
        <v>18.03993350975543</v>
      </c>
      <c r="D41" s="14">
        <f t="shared" si="50"/>
        <v>111102.94538611785</v>
      </c>
      <c r="E41" s="5">
        <f t="shared" si="70"/>
        <v>70816.30175580487</v>
      </c>
      <c r="F41" s="167"/>
      <c r="G41" s="8">
        <f t="shared" si="51"/>
        <v>64251.63152611751</v>
      </c>
      <c r="H41" s="5">
        <f t="shared" si="69"/>
        <v>48932.616087804716</v>
      </c>
      <c r="I41" s="141"/>
      <c r="J41" s="135">
        <f t="shared" si="52"/>
        <v>602.6280000000042</v>
      </c>
      <c r="K41" s="3">
        <f t="shared" si="71"/>
        <v>311.6180000000022</v>
      </c>
      <c r="L41" s="156"/>
      <c r="M41" s="154"/>
      <c r="N41" s="2"/>
      <c r="Q41" s="113" t="s">
        <v>42</v>
      </c>
      <c r="R41" s="6">
        <f>SUM(R38:R40)</f>
        <v>-100234.88964822258</v>
      </c>
      <c r="S41" s="11">
        <f aca="true" t="shared" si="76" ref="S41:AP41">SUM(S38:S40)</f>
        <v>-16996.768860599856</v>
      </c>
      <c r="T41" s="11">
        <f t="shared" si="76"/>
        <v>-15570.860196399915</v>
      </c>
      <c r="U41" s="11">
        <f t="shared" si="76"/>
        <v>-14099.456282399588</v>
      </c>
      <c r="V41" s="11">
        <f t="shared" si="76"/>
        <v>-12582.557118599638</v>
      </c>
      <c r="W41" s="11">
        <f t="shared" si="76"/>
        <v>-11020.162704999688</v>
      </c>
      <c r="X41" s="11">
        <f t="shared" si="76"/>
        <v>-9412.27304159971</v>
      </c>
      <c r="Y41" s="11">
        <f t="shared" si="76"/>
        <v>-7758.888128399763</v>
      </c>
      <c r="Z41" s="11">
        <f t="shared" si="76"/>
        <v>-6060.0079653998155</v>
      </c>
      <c r="AA41" s="11">
        <f t="shared" si="76"/>
        <v>-4315.632552599866</v>
      </c>
      <c r="AB41" s="11">
        <f t="shared" si="76"/>
        <v>-2525.761889999916</v>
      </c>
      <c r="AC41" s="11">
        <f t="shared" si="76"/>
        <v>-2520</v>
      </c>
      <c r="AD41" s="11">
        <f t="shared" si="76"/>
        <v>-2520</v>
      </c>
      <c r="AE41" s="11">
        <f t="shared" si="76"/>
        <v>-2520</v>
      </c>
      <c r="AF41" s="11">
        <f t="shared" si="76"/>
        <v>-2520</v>
      </c>
      <c r="AG41" s="11">
        <f t="shared" si="76"/>
        <v>-2520</v>
      </c>
      <c r="AH41" s="11">
        <f t="shared" si="76"/>
        <v>-2520</v>
      </c>
      <c r="AI41" s="11">
        <f t="shared" si="76"/>
        <v>-2520</v>
      </c>
      <c r="AJ41" s="11">
        <f t="shared" si="76"/>
        <v>-2520</v>
      </c>
      <c r="AK41" s="11">
        <f t="shared" si="76"/>
        <v>-2520</v>
      </c>
      <c r="AL41" s="11">
        <f t="shared" si="76"/>
        <v>-2520</v>
      </c>
      <c r="AM41" s="11">
        <f t="shared" si="76"/>
        <v>-2520</v>
      </c>
      <c r="AN41" s="11">
        <f t="shared" si="76"/>
        <v>-2520</v>
      </c>
      <c r="AO41" s="11">
        <f t="shared" si="76"/>
        <v>-2520</v>
      </c>
      <c r="AP41" s="7">
        <f t="shared" si="76"/>
        <v>-2520</v>
      </c>
      <c r="AS41" s="51"/>
      <c r="AT41" s="113" t="s">
        <v>42</v>
      </c>
      <c r="AU41" s="6">
        <f>SUM(AU38:AU40)</f>
        <v>-100234.8896482226</v>
      </c>
      <c r="AV41" s="11">
        <f aca="true" t="shared" si="77" ref="AV41:BR41">SUM(AV38:AV40)</f>
        <v>-16996.768860599856</v>
      </c>
      <c r="AW41" s="11">
        <f t="shared" si="77"/>
        <v>-15570.860196399915</v>
      </c>
      <c r="AX41" s="11">
        <f t="shared" si="77"/>
        <v>-14099.456282399588</v>
      </c>
      <c r="AY41" s="11">
        <f t="shared" si="77"/>
        <v>-12582.557118599638</v>
      </c>
      <c r="AZ41" s="11">
        <f t="shared" si="77"/>
        <v>-11020.162704999688</v>
      </c>
      <c r="BA41" s="11">
        <f t="shared" si="77"/>
        <v>-9412.27304159971</v>
      </c>
      <c r="BB41" s="11">
        <f t="shared" si="77"/>
        <v>-7758.888128399763</v>
      </c>
      <c r="BC41" s="11">
        <f t="shared" si="77"/>
        <v>-6060.0079653998155</v>
      </c>
      <c r="BD41" s="11">
        <f t="shared" si="77"/>
        <v>-4315.632552599866</v>
      </c>
      <c r="BE41" s="11">
        <f t="shared" si="77"/>
        <v>-2525.761889999916</v>
      </c>
      <c r="BF41" s="11">
        <f t="shared" si="77"/>
        <v>-2520</v>
      </c>
      <c r="BG41" s="11">
        <f t="shared" si="77"/>
        <v>-2520</v>
      </c>
      <c r="BH41" s="11">
        <f t="shared" si="77"/>
        <v>-2520</v>
      </c>
      <c r="BI41" s="11">
        <f t="shared" si="77"/>
        <v>-2520</v>
      </c>
      <c r="BJ41" s="11">
        <f t="shared" si="77"/>
        <v>-2520</v>
      </c>
      <c r="BK41" s="11">
        <f t="shared" si="77"/>
        <v>-2520</v>
      </c>
      <c r="BL41" s="11">
        <f t="shared" si="77"/>
        <v>-2520</v>
      </c>
      <c r="BM41" s="11">
        <f t="shared" si="77"/>
        <v>-2520</v>
      </c>
      <c r="BN41" s="11">
        <f t="shared" si="77"/>
        <v>-2520</v>
      </c>
      <c r="BO41" s="11">
        <f t="shared" si="77"/>
        <v>-2520</v>
      </c>
      <c r="BP41" s="11">
        <f t="shared" si="77"/>
        <v>-2520</v>
      </c>
      <c r="BQ41" s="11">
        <f t="shared" si="77"/>
        <v>-2520</v>
      </c>
      <c r="BR41" s="11">
        <f t="shared" si="77"/>
        <v>-2520</v>
      </c>
      <c r="BS41" s="7">
        <f>SUM(BS38:BS40)</f>
        <v>-2520</v>
      </c>
      <c r="BT41" s="51"/>
      <c r="BV41" s="51"/>
      <c r="CW41" s="51"/>
    </row>
    <row r="42" spans="2:101" ht="15">
      <c r="B42" s="33">
        <f t="shared" si="56"/>
        <v>2027</v>
      </c>
      <c r="C42" s="99">
        <v>18.437859955754902</v>
      </c>
      <c r="D42" s="14">
        <f t="shared" si="50"/>
        <v>113855.7171567255</v>
      </c>
      <c r="E42" s="5">
        <f t="shared" si="70"/>
        <v>73102.00394944704</v>
      </c>
      <c r="F42" s="167"/>
      <c r="G42" s="8">
        <f t="shared" si="51"/>
        <v>65668.89968672517</v>
      </c>
      <c r="H42" s="5">
        <f t="shared" si="69"/>
        <v>50011.976053446895</v>
      </c>
      <c r="I42" s="141"/>
      <c r="J42" s="135">
        <f t="shared" si="52"/>
        <v>619.8060000000041</v>
      </c>
      <c r="K42" s="3">
        <f t="shared" si="71"/>
        <v>328.7960000000021</v>
      </c>
      <c r="L42" s="156"/>
      <c r="M42" s="154"/>
      <c r="N42" s="2"/>
      <c r="Q42" s="113" t="s">
        <v>41</v>
      </c>
      <c r="R42" s="14">
        <v>1</v>
      </c>
      <c r="S42" s="5">
        <v>0.92</v>
      </c>
      <c r="T42" s="5">
        <f>0.92*S42</f>
        <v>0.8464</v>
      </c>
      <c r="U42" s="5">
        <f>0.92*T42</f>
        <v>0.778688</v>
      </c>
      <c r="V42" s="5">
        <f aca="true" t="shared" si="78" ref="V42:AA42">0.92*U42</f>
        <v>0.7163929600000001</v>
      </c>
      <c r="W42" s="5">
        <f t="shared" si="78"/>
        <v>0.6590815232000001</v>
      </c>
      <c r="X42" s="5">
        <f t="shared" si="78"/>
        <v>0.6063550013440001</v>
      </c>
      <c r="Y42" s="5">
        <f t="shared" si="78"/>
        <v>0.5578466012364801</v>
      </c>
      <c r="Z42" s="5">
        <f t="shared" si="78"/>
        <v>0.5132188731375618</v>
      </c>
      <c r="AA42" s="5">
        <f t="shared" si="78"/>
        <v>0.47216136328655683</v>
      </c>
      <c r="AB42" s="5">
        <f>0.92*AA42</f>
        <v>0.4343884542236323</v>
      </c>
      <c r="AC42" s="5">
        <f aca="true" t="shared" si="79" ref="AC42:AP42">0.92*AB42</f>
        <v>0.3996373778857418</v>
      </c>
      <c r="AD42" s="5">
        <f t="shared" si="79"/>
        <v>0.36766638765488246</v>
      </c>
      <c r="AE42" s="5">
        <f t="shared" si="79"/>
        <v>0.3382530766424919</v>
      </c>
      <c r="AF42" s="5">
        <f t="shared" si="79"/>
        <v>0.31119283051109253</v>
      </c>
      <c r="AG42" s="5">
        <f t="shared" si="79"/>
        <v>0.28629740407020515</v>
      </c>
      <c r="AH42" s="5">
        <f t="shared" si="79"/>
        <v>0.26339361174458875</v>
      </c>
      <c r="AI42" s="5">
        <f t="shared" si="79"/>
        <v>0.24232212280502166</v>
      </c>
      <c r="AJ42" s="5">
        <f t="shared" si="79"/>
        <v>0.22293635298061995</v>
      </c>
      <c r="AK42" s="5">
        <f t="shared" si="79"/>
        <v>0.20510144474217037</v>
      </c>
      <c r="AL42" s="5">
        <f t="shared" si="79"/>
        <v>0.18869332916279674</v>
      </c>
      <c r="AM42" s="5">
        <f t="shared" si="79"/>
        <v>0.17359786282977302</v>
      </c>
      <c r="AN42" s="5">
        <f t="shared" si="79"/>
        <v>0.1597100338033912</v>
      </c>
      <c r="AO42" s="5">
        <f t="shared" si="79"/>
        <v>0.1469332310991199</v>
      </c>
      <c r="AP42" s="10">
        <f t="shared" si="79"/>
        <v>0.13517857261119032</v>
      </c>
      <c r="AS42" s="51"/>
      <c r="AT42" s="113" t="s">
        <v>41</v>
      </c>
      <c r="AU42" s="14">
        <v>1</v>
      </c>
      <c r="AV42" s="5">
        <v>0.92</v>
      </c>
      <c r="AW42" s="5">
        <f>0.92*AV42</f>
        <v>0.8464</v>
      </c>
      <c r="AX42" s="5">
        <f>0.92*AW42</f>
        <v>0.778688</v>
      </c>
      <c r="AY42" s="5">
        <f aca="true" t="shared" si="80" ref="AY42:BD42">0.92*AX42</f>
        <v>0.7163929600000001</v>
      </c>
      <c r="AZ42" s="5">
        <f t="shared" si="80"/>
        <v>0.6590815232000001</v>
      </c>
      <c r="BA42" s="5">
        <f t="shared" si="80"/>
        <v>0.6063550013440001</v>
      </c>
      <c r="BB42" s="5">
        <f t="shared" si="80"/>
        <v>0.5578466012364801</v>
      </c>
      <c r="BC42" s="5">
        <f t="shared" si="80"/>
        <v>0.5132188731375618</v>
      </c>
      <c r="BD42" s="5">
        <f t="shared" si="80"/>
        <v>0.47216136328655683</v>
      </c>
      <c r="BE42" s="3">
        <f>0.92*BD42</f>
        <v>0.4343884542236323</v>
      </c>
      <c r="BF42" s="3">
        <f aca="true" t="shared" si="81" ref="BF42:BS42">0.92*BE42</f>
        <v>0.3996373778857418</v>
      </c>
      <c r="BG42" s="3">
        <f t="shared" si="81"/>
        <v>0.36766638765488246</v>
      </c>
      <c r="BH42" s="3">
        <f t="shared" si="81"/>
        <v>0.3382530766424919</v>
      </c>
      <c r="BI42" s="3">
        <f t="shared" si="81"/>
        <v>0.31119283051109253</v>
      </c>
      <c r="BJ42" s="3">
        <f t="shared" si="81"/>
        <v>0.28629740407020515</v>
      </c>
      <c r="BK42" s="3">
        <f t="shared" si="81"/>
        <v>0.26339361174458875</v>
      </c>
      <c r="BL42" s="3">
        <f t="shared" si="81"/>
        <v>0.24232212280502166</v>
      </c>
      <c r="BM42" s="3">
        <f t="shared" si="81"/>
        <v>0.22293635298061995</v>
      </c>
      <c r="BN42" s="3">
        <f t="shared" si="81"/>
        <v>0.20510144474217037</v>
      </c>
      <c r="BO42" s="3">
        <f t="shared" si="81"/>
        <v>0.18869332916279674</v>
      </c>
      <c r="BP42" s="3">
        <f t="shared" si="81"/>
        <v>0.17359786282977302</v>
      </c>
      <c r="BQ42" s="3">
        <f t="shared" si="81"/>
        <v>0.1597100338033912</v>
      </c>
      <c r="BR42" s="3">
        <f t="shared" si="81"/>
        <v>0.1469332310991199</v>
      </c>
      <c r="BS42" s="4">
        <f t="shared" si="81"/>
        <v>0.13517857261119032</v>
      </c>
      <c r="BT42" s="51"/>
      <c r="BV42" s="51"/>
      <c r="CW42" s="51"/>
    </row>
    <row r="43" spans="2:101" ht="15">
      <c r="B43" s="33">
        <f t="shared" si="56"/>
        <v>2028</v>
      </c>
      <c r="C43" s="99">
        <v>18.835590040312127</v>
      </c>
      <c r="D43" s="14">
        <f t="shared" si="50"/>
        <v>116607.78955984232</v>
      </c>
      <c r="E43" s="5">
        <f t="shared" si="70"/>
        <v>75387.1735203352</v>
      </c>
      <c r="F43" s="167"/>
      <c r="G43" s="8">
        <f t="shared" si="51"/>
        <v>67085.468479842</v>
      </c>
      <c r="H43" s="5">
        <f t="shared" si="69"/>
        <v>51090.80339633507</v>
      </c>
      <c r="I43" s="141"/>
      <c r="J43" s="135">
        <f t="shared" si="52"/>
        <v>636.984000000004</v>
      </c>
      <c r="K43" s="3">
        <f t="shared" si="71"/>
        <v>345.974000000002</v>
      </c>
      <c r="L43" s="156"/>
      <c r="M43" s="154"/>
      <c r="N43" s="2"/>
      <c r="Q43" s="113" t="s">
        <v>40</v>
      </c>
      <c r="R43" s="6">
        <f aca="true" t="shared" si="82" ref="R43:AB43">R42*R41</f>
        <v>-100234.88964822258</v>
      </c>
      <c r="S43" s="11">
        <f t="shared" si="82"/>
        <v>-15637.027351751867</v>
      </c>
      <c r="T43" s="11">
        <f t="shared" si="82"/>
        <v>-13179.176070232888</v>
      </c>
      <c r="U43" s="11">
        <f t="shared" si="82"/>
        <v>-10979.077413629171</v>
      </c>
      <c r="V43" s="11">
        <f t="shared" si="82"/>
        <v>-9014.055338562666</v>
      </c>
      <c r="W43" s="11">
        <f t="shared" si="82"/>
        <v>-7263.185621523028</v>
      </c>
      <c r="X43" s="11">
        <f t="shared" si="82"/>
        <v>-5707.178832789288</v>
      </c>
      <c r="Y43" s="11">
        <f t="shared" si="82"/>
        <v>-4328.269371801883</v>
      </c>
      <c r="Z43" s="11">
        <f t="shared" si="82"/>
        <v>-3110.1104592071415</v>
      </c>
      <c r="AA43" s="11">
        <f t="shared" si="82"/>
        <v>-2037.674949479396</v>
      </c>
      <c r="AB43" s="11">
        <f t="shared" si="82"/>
        <v>-1097.1618031340236</v>
      </c>
      <c r="AC43" s="11">
        <f aca="true" t="shared" si="83" ref="AC43:AP43">AC42*AC41</f>
        <v>-1007.0861922720693</v>
      </c>
      <c r="AD43" s="11">
        <f t="shared" si="83"/>
        <v>-926.5192968903038</v>
      </c>
      <c r="AE43" s="11">
        <f t="shared" si="83"/>
        <v>-852.3977531390796</v>
      </c>
      <c r="AF43" s="11">
        <f t="shared" si="83"/>
        <v>-784.2059328879532</v>
      </c>
      <c r="AG43" s="11">
        <f t="shared" si="83"/>
        <v>-721.4694582569169</v>
      </c>
      <c r="AH43" s="11">
        <f t="shared" si="83"/>
        <v>-663.7519015963636</v>
      </c>
      <c r="AI43" s="11">
        <f t="shared" si="83"/>
        <v>-610.6517494686545</v>
      </c>
      <c r="AJ43" s="11">
        <f t="shared" si="83"/>
        <v>-561.7996095111623</v>
      </c>
      <c r="AK43" s="11">
        <f t="shared" si="83"/>
        <v>-516.8556407502693</v>
      </c>
      <c r="AL43" s="11">
        <f t="shared" si="83"/>
        <v>-475.5071894902478</v>
      </c>
      <c r="AM43" s="11">
        <f t="shared" si="83"/>
        <v>-437.466614331028</v>
      </c>
      <c r="AN43" s="11">
        <f t="shared" si="83"/>
        <v>-402.4692851845458</v>
      </c>
      <c r="AO43" s="11">
        <f t="shared" si="83"/>
        <v>-370.27174236978215</v>
      </c>
      <c r="AP43" s="7">
        <f t="shared" si="83"/>
        <v>-340.6500029801996</v>
      </c>
      <c r="AS43" s="51"/>
      <c r="AT43" s="113" t="s">
        <v>40</v>
      </c>
      <c r="AU43" s="6">
        <f aca="true" t="shared" si="84" ref="AU43:BS43">AU42*AU41</f>
        <v>-100234.8896482226</v>
      </c>
      <c r="AV43" s="11">
        <f t="shared" si="84"/>
        <v>-15637.027351751867</v>
      </c>
      <c r="AW43" s="11">
        <f t="shared" si="84"/>
        <v>-13179.176070232888</v>
      </c>
      <c r="AX43" s="11">
        <f t="shared" si="84"/>
        <v>-10979.077413629171</v>
      </c>
      <c r="AY43" s="11">
        <f t="shared" si="84"/>
        <v>-9014.055338562666</v>
      </c>
      <c r="AZ43" s="11">
        <f t="shared" si="84"/>
        <v>-7263.185621523028</v>
      </c>
      <c r="BA43" s="11">
        <f t="shared" si="84"/>
        <v>-5707.178832789288</v>
      </c>
      <c r="BB43" s="11">
        <f t="shared" si="84"/>
        <v>-4328.269371801883</v>
      </c>
      <c r="BC43" s="11">
        <f t="shared" si="84"/>
        <v>-3110.1104592071415</v>
      </c>
      <c r="BD43" s="11">
        <f t="shared" si="84"/>
        <v>-2037.674949479396</v>
      </c>
      <c r="BE43" s="11">
        <f t="shared" si="84"/>
        <v>-1097.1618031340236</v>
      </c>
      <c r="BF43" s="11">
        <f t="shared" si="84"/>
        <v>-1007.0861922720693</v>
      </c>
      <c r="BG43" s="11">
        <f t="shared" si="84"/>
        <v>-926.5192968903038</v>
      </c>
      <c r="BH43" s="11">
        <f t="shared" si="84"/>
        <v>-852.3977531390796</v>
      </c>
      <c r="BI43" s="11">
        <f t="shared" si="84"/>
        <v>-784.2059328879532</v>
      </c>
      <c r="BJ43" s="11">
        <f t="shared" si="84"/>
        <v>-721.4694582569169</v>
      </c>
      <c r="BK43" s="11">
        <f t="shared" si="84"/>
        <v>-663.7519015963636</v>
      </c>
      <c r="BL43" s="11">
        <f t="shared" si="84"/>
        <v>-610.6517494686545</v>
      </c>
      <c r="BM43" s="11">
        <f t="shared" si="84"/>
        <v>-561.7996095111623</v>
      </c>
      <c r="BN43" s="11">
        <f t="shared" si="84"/>
        <v>-516.8556407502693</v>
      </c>
      <c r="BO43" s="11">
        <f t="shared" si="84"/>
        <v>-475.5071894902478</v>
      </c>
      <c r="BP43" s="11">
        <f t="shared" si="84"/>
        <v>-437.466614331028</v>
      </c>
      <c r="BQ43" s="11">
        <f t="shared" si="84"/>
        <v>-402.4692851845458</v>
      </c>
      <c r="BR43" s="11">
        <f t="shared" si="84"/>
        <v>-370.27174236978215</v>
      </c>
      <c r="BS43" s="7">
        <f t="shared" si="84"/>
        <v>-340.6500029801996</v>
      </c>
      <c r="BT43" s="51"/>
      <c r="BV43" s="51"/>
      <c r="CW43" s="51"/>
    </row>
    <row r="44" spans="2:101" ht="15.75" thickBot="1">
      <c r="B44" s="33">
        <f t="shared" si="56"/>
        <v>2029</v>
      </c>
      <c r="C44" s="99">
        <v>19.233123957124917</v>
      </c>
      <c r="D44" s="14">
        <f t="shared" si="50"/>
        <v>119359.16328534896</v>
      </c>
      <c r="E44" s="5">
        <f t="shared" si="70"/>
        <v>77671.81099386714</v>
      </c>
      <c r="F44" s="167"/>
      <c r="G44" s="8">
        <f t="shared" si="51"/>
        <v>68501.33859534866</v>
      </c>
      <c r="H44" s="5">
        <f t="shared" si="69"/>
        <v>52169.09864186701</v>
      </c>
      <c r="I44" s="141"/>
      <c r="J44" s="135">
        <f t="shared" si="52"/>
        <v>654.1620000000039</v>
      </c>
      <c r="K44" s="3">
        <f t="shared" si="71"/>
        <v>363.15200000000186</v>
      </c>
      <c r="L44" s="156"/>
      <c r="M44" s="154"/>
      <c r="N44" s="2"/>
      <c r="Q44" s="114" t="s">
        <v>39</v>
      </c>
      <c r="R44" s="6">
        <f>R43</f>
        <v>-100234.88964822258</v>
      </c>
      <c r="S44" s="11">
        <f aca="true" t="shared" si="85" ref="S44:AB44">R44+S43</f>
        <v>-115871.91699997445</v>
      </c>
      <c r="T44" s="11">
        <f t="shared" si="85"/>
        <v>-129051.09307020734</v>
      </c>
      <c r="U44" s="11">
        <f t="shared" si="85"/>
        <v>-140030.1704838365</v>
      </c>
      <c r="V44" s="11">
        <f t="shared" si="85"/>
        <v>-149044.22582239917</v>
      </c>
      <c r="W44" s="11">
        <f t="shared" si="85"/>
        <v>-156307.4114439222</v>
      </c>
      <c r="X44" s="11">
        <f t="shared" si="85"/>
        <v>-162014.5902767115</v>
      </c>
      <c r="Y44" s="11">
        <f t="shared" si="85"/>
        <v>-166342.85964851337</v>
      </c>
      <c r="Z44" s="11">
        <f t="shared" si="85"/>
        <v>-169452.97010772052</v>
      </c>
      <c r="AA44" s="11">
        <f t="shared" si="85"/>
        <v>-171490.64505719993</v>
      </c>
      <c r="AB44" s="11">
        <f t="shared" si="85"/>
        <v>-172587.80686033395</v>
      </c>
      <c r="AC44" s="11">
        <f aca="true" t="shared" si="86" ref="AC44:AP44">AB44+AC43</f>
        <v>-173594.89305260603</v>
      </c>
      <c r="AD44" s="11">
        <f t="shared" si="86"/>
        <v>-174521.41234949633</v>
      </c>
      <c r="AE44" s="11">
        <f t="shared" si="86"/>
        <v>-175373.8101026354</v>
      </c>
      <c r="AF44" s="11">
        <f t="shared" si="86"/>
        <v>-176158.01603552335</v>
      </c>
      <c r="AG44" s="11">
        <f t="shared" si="86"/>
        <v>-176879.48549378026</v>
      </c>
      <c r="AH44" s="11">
        <f t="shared" si="86"/>
        <v>-177543.23739537664</v>
      </c>
      <c r="AI44" s="11">
        <f t="shared" si="86"/>
        <v>-178153.88914484528</v>
      </c>
      <c r="AJ44" s="11">
        <f t="shared" si="86"/>
        <v>-178715.68875435644</v>
      </c>
      <c r="AK44" s="11">
        <f t="shared" si="86"/>
        <v>-179232.5443951067</v>
      </c>
      <c r="AL44" s="11">
        <f t="shared" si="86"/>
        <v>-179708.05158459695</v>
      </c>
      <c r="AM44" s="11">
        <f t="shared" si="86"/>
        <v>-180145.51819892798</v>
      </c>
      <c r="AN44" s="11">
        <f t="shared" si="86"/>
        <v>-180547.98748411253</v>
      </c>
      <c r="AO44" s="11">
        <f t="shared" si="86"/>
        <v>-180918.2592264823</v>
      </c>
      <c r="AP44" s="7">
        <f t="shared" si="86"/>
        <v>-181258.9092294625</v>
      </c>
      <c r="AS44" s="51"/>
      <c r="AT44" s="114" t="s">
        <v>39</v>
      </c>
      <c r="AU44" s="6">
        <f>AU43</f>
        <v>-100234.8896482226</v>
      </c>
      <c r="AV44" s="11">
        <f aca="true" t="shared" si="87" ref="AV44:BS44">AU44+AV43</f>
        <v>-115871.91699997446</v>
      </c>
      <c r="AW44" s="11">
        <f t="shared" si="87"/>
        <v>-129051.09307020735</v>
      </c>
      <c r="AX44" s="11">
        <f t="shared" si="87"/>
        <v>-140030.17048383653</v>
      </c>
      <c r="AY44" s="11">
        <f t="shared" si="87"/>
        <v>-149044.2258223992</v>
      </c>
      <c r="AZ44" s="11">
        <f t="shared" si="87"/>
        <v>-156307.41144392223</v>
      </c>
      <c r="BA44" s="11">
        <f t="shared" si="87"/>
        <v>-162014.59027671153</v>
      </c>
      <c r="BB44" s="11">
        <f t="shared" si="87"/>
        <v>-166342.8596485134</v>
      </c>
      <c r="BC44" s="11">
        <f t="shared" si="87"/>
        <v>-169452.97010772055</v>
      </c>
      <c r="BD44" s="11">
        <f t="shared" si="87"/>
        <v>-171490.64505719996</v>
      </c>
      <c r="BE44" s="11">
        <f t="shared" si="87"/>
        <v>-172587.80686033398</v>
      </c>
      <c r="BF44" s="11">
        <f t="shared" si="87"/>
        <v>-173594.89305260606</v>
      </c>
      <c r="BG44" s="11">
        <f t="shared" si="87"/>
        <v>-174521.41234949636</v>
      </c>
      <c r="BH44" s="11">
        <f t="shared" si="87"/>
        <v>-175373.81010263544</v>
      </c>
      <c r="BI44" s="11">
        <f t="shared" si="87"/>
        <v>-176158.01603552338</v>
      </c>
      <c r="BJ44" s="11">
        <f t="shared" si="87"/>
        <v>-176879.4854937803</v>
      </c>
      <c r="BK44" s="11">
        <f t="shared" si="87"/>
        <v>-177543.23739537667</v>
      </c>
      <c r="BL44" s="11">
        <f t="shared" si="87"/>
        <v>-178153.8891448453</v>
      </c>
      <c r="BM44" s="11">
        <f t="shared" si="87"/>
        <v>-178715.68875435647</v>
      </c>
      <c r="BN44" s="11">
        <f t="shared" si="87"/>
        <v>-179232.54439510673</v>
      </c>
      <c r="BO44" s="11">
        <f t="shared" si="87"/>
        <v>-179708.05158459698</v>
      </c>
      <c r="BP44" s="11">
        <f t="shared" si="87"/>
        <v>-180145.518198928</v>
      </c>
      <c r="BQ44" s="11">
        <f t="shared" si="87"/>
        <v>-180547.98748411256</v>
      </c>
      <c r="BR44" s="11">
        <f t="shared" si="87"/>
        <v>-180918.25922648233</v>
      </c>
      <c r="BS44" s="7">
        <f t="shared" si="87"/>
        <v>-181258.90922946253</v>
      </c>
      <c r="BT44" s="51"/>
      <c r="BV44" s="51"/>
      <c r="CW44" s="51"/>
    </row>
    <row r="45" spans="2:101" ht="15.75" thickBot="1">
      <c r="B45" s="33">
        <f t="shared" si="56"/>
        <v>2030</v>
      </c>
      <c r="C45" s="99">
        <v>19.630461899606416</v>
      </c>
      <c r="D45" s="14">
        <f t="shared" si="50"/>
        <v>122109.83902211215</v>
      </c>
      <c r="E45" s="5">
        <f t="shared" si="70"/>
        <v>79955.91689466844</v>
      </c>
      <c r="F45" s="167"/>
      <c r="G45" s="8">
        <f t="shared" si="51"/>
        <v>69916.51072211185</v>
      </c>
      <c r="H45" s="5">
        <f t="shared" si="69"/>
        <v>53246.86231466832</v>
      </c>
      <c r="I45" s="141"/>
      <c r="J45" s="135">
        <f t="shared" si="52"/>
        <v>671.3400000000038</v>
      </c>
      <c r="K45" s="3">
        <f t="shared" si="71"/>
        <v>380.33000000000175</v>
      </c>
      <c r="L45" s="156"/>
      <c r="M45" s="154"/>
      <c r="N45" s="2"/>
      <c r="Q45" s="111" t="s">
        <v>11</v>
      </c>
      <c r="R45" s="44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3"/>
      <c r="AS45" s="51"/>
      <c r="AT45" s="111" t="s">
        <v>11</v>
      </c>
      <c r="AU45" s="44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3"/>
      <c r="BT45" s="51"/>
      <c r="BV45" s="51"/>
      <c r="CW45" s="51"/>
    </row>
    <row r="46" spans="2:101" ht="15">
      <c r="B46" s="33">
        <f t="shared" si="56"/>
        <v>2031</v>
      </c>
      <c r="C46" s="99">
        <v>20.02760406088146</v>
      </c>
      <c r="D46" s="14">
        <f t="shared" si="50"/>
        <v>124859.81745797172</v>
      </c>
      <c r="E46" s="5">
        <f t="shared" si="70"/>
        <v>82239.49174658269</v>
      </c>
      <c r="F46" s="167"/>
      <c r="G46" s="8">
        <f t="shared" si="51"/>
        <v>71330.98554797143</v>
      </c>
      <c r="H46" s="5">
        <f t="shared" si="69"/>
        <v>54324.09493858257</v>
      </c>
      <c r="I46" s="141"/>
      <c r="J46" s="135">
        <f t="shared" si="52"/>
        <v>688.5180000000037</v>
      </c>
      <c r="K46" s="3">
        <f t="shared" si="71"/>
        <v>397.50800000000163</v>
      </c>
      <c r="L46" s="156"/>
      <c r="M46" s="154"/>
      <c r="N46" s="2"/>
      <c r="Q46" s="112" t="s">
        <v>77</v>
      </c>
      <c r="R46" s="45">
        <f>F65</f>
        <v>37778.9057940315</v>
      </c>
      <c r="S46" s="5">
        <f>F66</f>
        <v>39861.58983988879</v>
      </c>
      <c r="T46" s="5">
        <f>F67</f>
        <v>41862.10765755547</v>
      </c>
      <c r="U46" s="5">
        <f>F68</f>
        <v>43862.62547522215</v>
      </c>
      <c r="V46" s="5">
        <f>F69</f>
        <v>45863.14329288883</v>
      </c>
      <c r="W46" s="5">
        <f>F70</f>
        <v>47863.661110555506</v>
      </c>
      <c r="X46" s="5">
        <f>F71</f>
        <v>49864.17892822206</v>
      </c>
      <c r="Y46" s="5">
        <f>F72</f>
        <v>51864.69674588875</v>
      </c>
      <c r="Z46" s="5">
        <f>F73</f>
        <v>53865.214563555426</v>
      </c>
      <c r="AA46" s="5">
        <f>F74</f>
        <v>55865.7323812221</v>
      </c>
      <c r="AB46" s="5">
        <f>F75</f>
        <v>57866.25019888878</v>
      </c>
      <c r="AC46" s="5">
        <f>+F76</f>
        <v>59866.76801655546</v>
      </c>
      <c r="AD46" s="5">
        <f>+F77</f>
        <v>61867.28583422202</v>
      </c>
      <c r="AE46" s="5">
        <f>+F78</f>
        <v>63867.803651888695</v>
      </c>
      <c r="AF46" s="5">
        <f>+F79</f>
        <v>65868.32146955538</v>
      </c>
      <c r="AG46" s="5">
        <f>+F80</f>
        <v>67868.83928722206</v>
      </c>
      <c r="AH46" s="5">
        <f>+F81</f>
        <v>69869.35710488874</v>
      </c>
      <c r="AI46" s="5">
        <f>+F82</f>
        <v>71869.8749225553</v>
      </c>
      <c r="AJ46" s="5">
        <f>+F83</f>
        <v>73870.39274022197</v>
      </c>
      <c r="AK46" s="5">
        <f>+F84</f>
        <v>75870.91055788865</v>
      </c>
      <c r="AL46" s="5">
        <f>+F85</f>
        <v>77871.42837555533</v>
      </c>
      <c r="AM46" s="5">
        <f>+F86</f>
        <v>79871.94619322201</v>
      </c>
      <c r="AN46" s="5">
        <f>+F87</f>
        <v>81872.46401088857</v>
      </c>
      <c r="AO46" s="5">
        <f>+F88</f>
        <v>83872.98182855525</v>
      </c>
      <c r="AP46" s="10">
        <f>+F89</f>
        <v>85873.49964622193</v>
      </c>
      <c r="AS46" s="51"/>
      <c r="AT46" s="112" t="s">
        <v>77</v>
      </c>
      <c r="AU46" s="45">
        <f>I65</f>
        <v>30725.20982180928</v>
      </c>
      <c r="AV46" s="5">
        <f>+I66</f>
        <v>31249.457990999912</v>
      </c>
      <c r="AW46" s="5">
        <f>+I67</f>
        <v>31691.539931999938</v>
      </c>
      <c r="AX46" s="5">
        <f>+I68</f>
        <v>32133.62187299996</v>
      </c>
      <c r="AY46" s="5">
        <f>+I69</f>
        <v>32575.703813999986</v>
      </c>
      <c r="AZ46" s="5">
        <f>+I70</f>
        <v>33017.785755000004</v>
      </c>
      <c r="BA46" s="5">
        <f>+I71</f>
        <v>33459.86769599991</v>
      </c>
      <c r="BB46" s="5">
        <f>+I72</f>
        <v>33901.94963699993</v>
      </c>
      <c r="BC46" s="5">
        <f>+I73</f>
        <v>34344.03157799996</v>
      </c>
      <c r="BD46" s="5">
        <f>+I74</f>
        <v>34786.11351899998</v>
      </c>
      <c r="BE46" s="3">
        <f>+I75</f>
        <v>35228.19546</v>
      </c>
      <c r="BF46" s="3">
        <f>+I76</f>
        <v>35670.27740100003</v>
      </c>
      <c r="BG46" s="3">
        <f>+I77</f>
        <v>36112.35934199992</v>
      </c>
      <c r="BH46" s="3">
        <f>+I78</f>
        <v>36554.44128299995</v>
      </c>
      <c r="BI46" s="3">
        <f>+I79</f>
        <v>36996.523223999975</v>
      </c>
      <c r="BJ46" s="3">
        <f>+I80</f>
        <v>37438.605165</v>
      </c>
      <c r="BK46" s="3">
        <f>+I81</f>
        <v>37880.68710600002</v>
      </c>
      <c r="BL46" s="3">
        <f>+I82</f>
        <v>38322.76904699992</v>
      </c>
      <c r="BM46" s="3">
        <f>+I83</f>
        <v>38764.85098799994</v>
      </c>
      <c r="BN46" s="3">
        <f>+I84</f>
        <v>39206.932928999966</v>
      </c>
      <c r="BO46" s="3">
        <f>+I85</f>
        <v>39649.01486999999</v>
      </c>
      <c r="BP46" s="3">
        <f>+I86</f>
        <v>40091.09681100002</v>
      </c>
      <c r="BQ46" s="3">
        <f>+I87</f>
        <v>40533.17875199991</v>
      </c>
      <c r="BR46" s="3">
        <f>+I88</f>
        <v>40975.26069299994</v>
      </c>
      <c r="BS46" s="4">
        <f>+I89</f>
        <v>41417.34263399996</v>
      </c>
      <c r="BT46" s="51"/>
      <c r="BV46" s="51"/>
      <c r="CW46" s="51"/>
    </row>
    <row r="47" spans="2:101" ht="15">
      <c r="B47" s="33">
        <f t="shared" si="56"/>
        <v>2032</v>
      </c>
      <c r="C47" s="99">
        <v>20.424550633790204</v>
      </c>
      <c r="D47" s="14">
        <f t="shared" si="50"/>
        <v>127609.0992797537</v>
      </c>
      <c r="E47" s="5">
        <f t="shared" si="70"/>
        <v>84522.53607268131</v>
      </c>
      <c r="F47" s="167"/>
      <c r="G47" s="8">
        <f t="shared" si="51"/>
        <v>72744.76375975342</v>
      </c>
      <c r="H47" s="5">
        <f t="shared" si="69"/>
        <v>55400.7970366812</v>
      </c>
      <c r="I47" s="141"/>
      <c r="J47" s="135">
        <f t="shared" si="52"/>
        <v>705.6960000000036</v>
      </c>
      <c r="K47" s="3">
        <f t="shared" si="71"/>
        <v>414.6860000000015</v>
      </c>
      <c r="L47" s="156"/>
      <c r="M47" s="154"/>
      <c r="N47" s="2"/>
      <c r="Q47" s="113" t="s">
        <v>10</v>
      </c>
      <c r="R47" s="45">
        <v>1</v>
      </c>
      <c r="S47" s="5">
        <v>0.92</v>
      </c>
      <c r="T47" s="5">
        <v>0.8464</v>
      </c>
      <c r="U47" s="5">
        <v>0.778688</v>
      </c>
      <c r="V47" s="5">
        <v>0.7163929600000001</v>
      </c>
      <c r="W47" s="5">
        <v>0.6590815232000001</v>
      </c>
      <c r="X47" s="5">
        <v>0.6063550013440001</v>
      </c>
      <c r="Y47" s="5">
        <v>0.5578466012364801</v>
      </c>
      <c r="Z47" s="5">
        <v>0.5132188731375618</v>
      </c>
      <c r="AA47" s="5">
        <v>0.47216136328655683</v>
      </c>
      <c r="AB47" s="5">
        <f>AB42</f>
        <v>0.4343884542236323</v>
      </c>
      <c r="AC47" s="5">
        <f aca="true" t="shared" si="88" ref="AC47:AP47">AC42</f>
        <v>0.3996373778857418</v>
      </c>
      <c r="AD47" s="5">
        <f t="shared" si="88"/>
        <v>0.36766638765488246</v>
      </c>
      <c r="AE47" s="5">
        <f t="shared" si="88"/>
        <v>0.3382530766424919</v>
      </c>
      <c r="AF47" s="5">
        <f t="shared" si="88"/>
        <v>0.31119283051109253</v>
      </c>
      <c r="AG47" s="5">
        <f t="shared" si="88"/>
        <v>0.28629740407020515</v>
      </c>
      <c r="AH47" s="5">
        <f t="shared" si="88"/>
        <v>0.26339361174458875</v>
      </c>
      <c r="AI47" s="5">
        <f t="shared" si="88"/>
        <v>0.24232212280502166</v>
      </c>
      <c r="AJ47" s="5">
        <f t="shared" si="88"/>
        <v>0.22293635298061995</v>
      </c>
      <c r="AK47" s="5">
        <f t="shared" si="88"/>
        <v>0.20510144474217037</v>
      </c>
      <c r="AL47" s="5">
        <f t="shared" si="88"/>
        <v>0.18869332916279674</v>
      </c>
      <c r="AM47" s="5">
        <f t="shared" si="88"/>
        <v>0.17359786282977302</v>
      </c>
      <c r="AN47" s="5">
        <f t="shared" si="88"/>
        <v>0.1597100338033912</v>
      </c>
      <c r="AO47" s="5">
        <f t="shared" si="88"/>
        <v>0.1469332310991199</v>
      </c>
      <c r="AP47" s="10">
        <f t="shared" si="88"/>
        <v>0.13517857261119032</v>
      </c>
      <c r="AS47" s="51"/>
      <c r="AT47" s="113" t="s">
        <v>10</v>
      </c>
      <c r="AU47" s="45">
        <v>1</v>
      </c>
      <c r="AV47" s="5">
        <v>0.92</v>
      </c>
      <c r="AW47" s="5">
        <v>0.8464</v>
      </c>
      <c r="AX47" s="5">
        <v>0.778688</v>
      </c>
      <c r="AY47" s="5">
        <v>0.7163929600000001</v>
      </c>
      <c r="AZ47" s="5">
        <v>0.6590815232000001</v>
      </c>
      <c r="BA47" s="5">
        <v>0.6063550013440001</v>
      </c>
      <c r="BB47" s="5">
        <v>0.5578466012364801</v>
      </c>
      <c r="BC47" s="5">
        <v>0.5132188731375618</v>
      </c>
      <c r="BD47" s="5">
        <v>0.47216136328655683</v>
      </c>
      <c r="BE47" s="3">
        <f>BE42</f>
        <v>0.4343884542236323</v>
      </c>
      <c r="BF47" s="3">
        <f aca="true" t="shared" si="89" ref="BF47:BS47">BF42</f>
        <v>0.3996373778857418</v>
      </c>
      <c r="BG47" s="3">
        <f t="shared" si="89"/>
        <v>0.36766638765488246</v>
      </c>
      <c r="BH47" s="3">
        <f t="shared" si="89"/>
        <v>0.3382530766424919</v>
      </c>
      <c r="BI47" s="3">
        <f t="shared" si="89"/>
        <v>0.31119283051109253</v>
      </c>
      <c r="BJ47" s="3">
        <f t="shared" si="89"/>
        <v>0.28629740407020515</v>
      </c>
      <c r="BK47" s="3">
        <f t="shared" si="89"/>
        <v>0.26339361174458875</v>
      </c>
      <c r="BL47" s="3">
        <f t="shared" si="89"/>
        <v>0.24232212280502166</v>
      </c>
      <c r="BM47" s="3">
        <f t="shared" si="89"/>
        <v>0.22293635298061995</v>
      </c>
      <c r="BN47" s="3">
        <f t="shared" si="89"/>
        <v>0.20510144474217037</v>
      </c>
      <c r="BO47" s="3">
        <f t="shared" si="89"/>
        <v>0.18869332916279674</v>
      </c>
      <c r="BP47" s="3">
        <f t="shared" si="89"/>
        <v>0.17359786282977302</v>
      </c>
      <c r="BQ47" s="3">
        <f t="shared" si="89"/>
        <v>0.1597100338033912</v>
      </c>
      <c r="BR47" s="3">
        <f t="shared" si="89"/>
        <v>0.1469332310991199</v>
      </c>
      <c r="BS47" s="4">
        <f t="shared" si="89"/>
        <v>0.13517857261119032</v>
      </c>
      <c r="BT47" s="51"/>
      <c r="BV47" s="51"/>
      <c r="CW47" s="51"/>
    </row>
    <row r="48" spans="2:101" ht="15">
      <c r="B48" s="33">
        <f t="shared" si="56"/>
        <v>2033</v>
      </c>
      <c r="C48" s="99">
        <v>20.821301810888144</v>
      </c>
      <c r="D48" s="14">
        <f t="shared" si="50"/>
        <v>130357.68517327015</v>
      </c>
      <c r="E48" s="5">
        <f t="shared" si="70"/>
        <v>86805.05039526356</v>
      </c>
      <c r="F48" s="167"/>
      <c r="G48" s="8">
        <f t="shared" si="51"/>
        <v>74157.84604326988</v>
      </c>
      <c r="H48" s="5">
        <f t="shared" si="69"/>
        <v>56476.96913126346</v>
      </c>
      <c r="I48" s="141"/>
      <c r="J48" s="135">
        <f t="shared" si="52"/>
        <v>722.8740000000034</v>
      </c>
      <c r="K48" s="3">
        <f t="shared" si="71"/>
        <v>431.8640000000014</v>
      </c>
      <c r="L48" s="156"/>
      <c r="M48" s="154"/>
      <c r="N48" s="2"/>
      <c r="Q48" s="113" t="s">
        <v>43</v>
      </c>
      <c r="R48" s="6">
        <f aca="true" t="shared" si="90" ref="R48:AB48">R47*R46</f>
        <v>37778.9057940315</v>
      </c>
      <c r="S48" s="11">
        <f t="shared" si="90"/>
        <v>36672.66265269768</v>
      </c>
      <c r="T48" s="11">
        <f t="shared" si="90"/>
        <v>35432.08792135495</v>
      </c>
      <c r="U48" s="11">
        <f t="shared" si="90"/>
        <v>34155.300106049785</v>
      </c>
      <c r="V48" s="11">
        <f t="shared" si="90"/>
        <v>32856.03297849678</v>
      </c>
      <c r="W48" s="11">
        <f t="shared" si="90"/>
        <v>31546.054670673533</v>
      </c>
      <c r="X48" s="11">
        <f t="shared" si="90"/>
        <v>30235.394281039553</v>
      </c>
      <c r="Y48" s="11">
        <f t="shared" si="90"/>
        <v>28932.54480385477</v>
      </c>
      <c r="Z48" s="11">
        <f t="shared" si="90"/>
        <v>27644.644719620897</v>
      </c>
      <c r="AA48" s="11">
        <f t="shared" si="90"/>
        <v>26377.64036211977</v>
      </c>
      <c r="AB48" s="11">
        <f t="shared" si="90"/>
        <v>25136.430975613253</v>
      </c>
      <c r="AC48" s="11">
        <f aca="true" t="shared" si="91" ref="AC48:AP48">AC47*AC46</f>
        <v>23924.998192630213</v>
      </c>
      <c r="AD48" s="11">
        <f t="shared" si="91"/>
        <v>22746.521496680492</v>
      </c>
      <c r="AE48" s="11">
        <f t="shared" si="91"/>
        <v>21603.48108364993</v>
      </c>
      <c r="AF48" s="11">
        <f t="shared" si="91"/>
        <v>20497.749399125503</v>
      </c>
      <c r="AG48" s="11">
        <f t="shared" si="91"/>
        <v>19430.67250518963</v>
      </c>
      <c r="AH48" s="11">
        <f t="shared" si="91"/>
        <v>18403.14231812909</v>
      </c>
      <c r="AI48" s="11">
        <f t="shared" si="91"/>
        <v>17415.660656964992</v>
      </c>
      <c r="AJ48" s="11">
        <f t="shared" si="91"/>
        <v>16468.39595075115</v>
      </c>
      <c r="AK48" s="11">
        <f t="shared" si="91"/>
        <v>15561.23336932695</v>
      </c>
      <c r="AL48" s="11">
        <f t="shared" si="91"/>
        <v>14693.819066845814</v>
      </c>
      <c r="AM48" s="11">
        <f t="shared" si="91"/>
        <v>13865.599159197967</v>
      </c>
      <c r="AN48" s="11">
        <f t="shared" si="91"/>
        <v>13075.853994745941</v>
      </c>
      <c r="AO48" s="11">
        <f t="shared" si="91"/>
        <v>12323.728221987392</v>
      </c>
      <c r="AP48" s="7">
        <f t="shared" si="91"/>
        <v>11608.257107303836</v>
      </c>
      <c r="AS48" s="51"/>
      <c r="AT48" s="113" t="s">
        <v>43</v>
      </c>
      <c r="AU48" s="6">
        <f aca="true" t="shared" si="92" ref="AU48:BS48">AU47*AU46</f>
        <v>30725.20982180928</v>
      </c>
      <c r="AV48" s="11">
        <f t="shared" si="92"/>
        <v>28749.50135171992</v>
      </c>
      <c r="AW48" s="11">
        <f t="shared" si="92"/>
        <v>26823.719398444748</v>
      </c>
      <c r="AX48" s="11">
        <f t="shared" si="92"/>
        <v>25022.065749042595</v>
      </c>
      <c r="AY48" s="11">
        <f t="shared" si="92"/>
        <v>23337.004879394743</v>
      </c>
      <c r="AZ48" s="11">
        <f t="shared" si="92"/>
        <v>21761.41252809667</v>
      </c>
      <c r="BA48" s="11">
        <f t="shared" si="92"/>
        <v>20288.55812177809</v>
      </c>
      <c r="BB48" s="11">
        <f t="shared" si="92"/>
        <v>18912.087380290734</v>
      </c>
      <c r="BC48" s="11">
        <f t="shared" si="92"/>
        <v>17626.005185461974</v>
      </c>
      <c r="BD48" s="11">
        <f t="shared" si="92"/>
        <v>16424.658782571954</v>
      </c>
      <c r="BE48" s="11">
        <f t="shared" si="92"/>
        <v>15302.721370957383</v>
      </c>
      <c r="BF48" s="11">
        <f t="shared" si="92"/>
        <v>14255.176128992684</v>
      </c>
      <c r="BG48" s="11">
        <f t="shared" si="92"/>
        <v>13277.30070896816</v>
      </c>
      <c r="BH48" s="11">
        <f t="shared" si="92"/>
        <v>12364.65222892205</v>
      </c>
      <c r="BI48" s="11">
        <f t="shared" si="92"/>
        <v>11513.052781145923</v>
      </c>
      <c r="BJ48" s="11">
        <f t="shared" si="92"/>
        <v>10718.575470748874</v>
      </c>
      <c r="BK48" s="11">
        <f t="shared" si="92"/>
        <v>9977.530992216018</v>
      </c>
      <c r="BL48" s="11">
        <f t="shared" si="92"/>
        <v>9286.454747235597</v>
      </c>
      <c r="BM48" s="11">
        <f t="shared" si="92"/>
        <v>8642.09450310189</v>
      </c>
      <c r="BN48" s="11">
        <f t="shared" si="92"/>
        <v>8041.398587647266</v>
      </c>
      <c r="BO48" s="11">
        <f t="shared" si="92"/>
        <v>7481.504613845531</v>
      </c>
      <c r="BP48" s="11">
        <f t="shared" si="92"/>
        <v>6959.728724891132</v>
      </c>
      <c r="BQ48" s="11">
        <f t="shared" si="92"/>
        <v>6473.5553486408035</v>
      </c>
      <c r="BR48" s="11">
        <f t="shared" si="92"/>
        <v>6020.627448751244</v>
      </c>
      <c r="BS48" s="7">
        <f t="shared" si="92"/>
        <v>5598.737258612711</v>
      </c>
      <c r="BT48" s="51"/>
      <c r="BV48" s="51"/>
      <c r="CW48" s="51"/>
    </row>
    <row r="49" spans="2:101" ht="15">
      <c r="B49" s="33">
        <f t="shared" si="56"/>
        <v>2034</v>
      </c>
      <c r="C49" s="99">
        <v>21.217857784447006</v>
      </c>
      <c r="D49" s="14">
        <f t="shared" si="50"/>
        <v>133105.5758233225</v>
      </c>
      <c r="E49" s="5">
        <f t="shared" si="70"/>
        <v>89087.03523585899</v>
      </c>
      <c r="F49" s="167"/>
      <c r="G49" s="8">
        <f t="shared" si="51"/>
        <v>75570.23308332222</v>
      </c>
      <c r="H49" s="5">
        <f t="shared" si="69"/>
        <v>57552.611743858906</v>
      </c>
      <c r="I49" s="141"/>
      <c r="J49" s="135">
        <f t="shared" si="52"/>
        <v>740.0520000000033</v>
      </c>
      <c r="K49" s="3">
        <f t="shared" si="71"/>
        <v>449.0420000000013</v>
      </c>
      <c r="L49" s="156"/>
      <c r="M49" s="154"/>
      <c r="N49" s="2"/>
      <c r="Q49" s="113" t="s">
        <v>44</v>
      </c>
      <c r="R49" s="6">
        <f>R48</f>
        <v>37778.9057940315</v>
      </c>
      <c r="S49" s="11">
        <f aca="true" t="shared" si="93" ref="S49:AB49">S48+R49</f>
        <v>74451.56844672919</v>
      </c>
      <c r="T49" s="11">
        <f t="shared" si="93"/>
        <v>109883.65636808414</v>
      </c>
      <c r="U49" s="11">
        <f t="shared" si="93"/>
        <v>144038.9564741339</v>
      </c>
      <c r="V49" s="11">
        <f t="shared" si="93"/>
        <v>176894.9894526307</v>
      </c>
      <c r="W49" s="11">
        <f t="shared" si="93"/>
        <v>208441.04412330422</v>
      </c>
      <c r="X49" s="11">
        <f t="shared" si="93"/>
        <v>238676.4384043438</v>
      </c>
      <c r="Y49" s="11">
        <f t="shared" si="93"/>
        <v>267608.98320819857</v>
      </c>
      <c r="Z49" s="11">
        <f t="shared" si="93"/>
        <v>295253.62792781944</v>
      </c>
      <c r="AA49" s="11">
        <f t="shared" si="93"/>
        <v>321631.2682899392</v>
      </c>
      <c r="AB49" s="11">
        <f t="shared" si="93"/>
        <v>346767.69926555245</v>
      </c>
      <c r="AC49" s="11">
        <f aca="true" t="shared" si="94" ref="AC49:AP49">AC48+AB49</f>
        <v>370692.6974581827</v>
      </c>
      <c r="AD49" s="11">
        <f t="shared" si="94"/>
        <v>393439.2189548632</v>
      </c>
      <c r="AE49" s="11">
        <f t="shared" si="94"/>
        <v>415042.7000385131</v>
      </c>
      <c r="AF49" s="11">
        <f t="shared" si="94"/>
        <v>435540.4494376386</v>
      </c>
      <c r="AG49" s="11">
        <f t="shared" si="94"/>
        <v>454971.12194282823</v>
      </c>
      <c r="AH49" s="11">
        <f t="shared" si="94"/>
        <v>473374.2642609573</v>
      </c>
      <c r="AI49" s="11">
        <f t="shared" si="94"/>
        <v>490789.9249179223</v>
      </c>
      <c r="AJ49" s="11">
        <f t="shared" si="94"/>
        <v>507258.32086867344</v>
      </c>
      <c r="AK49" s="11">
        <f t="shared" si="94"/>
        <v>522819.5542380004</v>
      </c>
      <c r="AL49" s="11">
        <f t="shared" si="94"/>
        <v>537513.3733048462</v>
      </c>
      <c r="AM49" s="11">
        <f t="shared" si="94"/>
        <v>551378.9724640442</v>
      </c>
      <c r="AN49" s="11">
        <f t="shared" si="94"/>
        <v>564454.8264587902</v>
      </c>
      <c r="AO49" s="11">
        <f t="shared" si="94"/>
        <v>576778.5546807776</v>
      </c>
      <c r="AP49" s="7">
        <f t="shared" si="94"/>
        <v>588386.8117880814</v>
      </c>
      <c r="AS49" s="51"/>
      <c r="AT49" s="113" t="s">
        <v>44</v>
      </c>
      <c r="AU49" s="6">
        <f>AU48</f>
        <v>30725.20982180928</v>
      </c>
      <c r="AV49" s="11">
        <f aca="true" t="shared" si="95" ref="AV49:BS49">AV48+AU49</f>
        <v>59474.7111735292</v>
      </c>
      <c r="AW49" s="11">
        <f t="shared" si="95"/>
        <v>86298.43057197395</v>
      </c>
      <c r="AX49" s="11">
        <f t="shared" si="95"/>
        <v>111320.49632101654</v>
      </c>
      <c r="AY49" s="11">
        <f t="shared" si="95"/>
        <v>134657.5012004113</v>
      </c>
      <c r="AZ49" s="11">
        <f t="shared" si="95"/>
        <v>156418.91372850796</v>
      </c>
      <c r="BA49" s="11">
        <f t="shared" si="95"/>
        <v>176707.47185028606</v>
      </c>
      <c r="BB49" s="11">
        <f t="shared" si="95"/>
        <v>195619.5592305768</v>
      </c>
      <c r="BC49" s="11">
        <f t="shared" si="95"/>
        <v>213245.56441603877</v>
      </c>
      <c r="BD49" s="11">
        <f t="shared" si="95"/>
        <v>229670.22319861074</v>
      </c>
      <c r="BE49" s="11">
        <f t="shared" si="95"/>
        <v>244972.94456956812</v>
      </c>
      <c r="BF49" s="11">
        <f t="shared" si="95"/>
        <v>259228.12069856082</v>
      </c>
      <c r="BG49" s="11">
        <f t="shared" si="95"/>
        <v>272505.421407529</v>
      </c>
      <c r="BH49" s="11">
        <f t="shared" si="95"/>
        <v>284870.07363645104</v>
      </c>
      <c r="BI49" s="11">
        <f t="shared" si="95"/>
        <v>296383.12641759694</v>
      </c>
      <c r="BJ49" s="11">
        <f t="shared" si="95"/>
        <v>307101.7018883458</v>
      </c>
      <c r="BK49" s="11">
        <f t="shared" si="95"/>
        <v>317079.23288056185</v>
      </c>
      <c r="BL49" s="11">
        <f t="shared" si="95"/>
        <v>326365.6876277974</v>
      </c>
      <c r="BM49" s="11">
        <f t="shared" si="95"/>
        <v>335007.7821308993</v>
      </c>
      <c r="BN49" s="11">
        <f t="shared" si="95"/>
        <v>343049.18071854656</v>
      </c>
      <c r="BO49" s="11">
        <f t="shared" si="95"/>
        <v>350530.6853323921</v>
      </c>
      <c r="BP49" s="11">
        <f t="shared" si="95"/>
        <v>357490.41405728325</v>
      </c>
      <c r="BQ49" s="11">
        <f t="shared" si="95"/>
        <v>363963.9694059241</v>
      </c>
      <c r="BR49" s="11">
        <f t="shared" si="95"/>
        <v>369984.5968546753</v>
      </c>
      <c r="BS49" s="7">
        <f t="shared" si="95"/>
        <v>375583.33411328803</v>
      </c>
      <c r="BT49" s="51"/>
      <c r="BV49" s="51"/>
      <c r="CW49" s="51"/>
    </row>
    <row r="50" spans="2:101" ht="15.75" thickBot="1">
      <c r="B50" s="33">
        <f t="shared" si="56"/>
        <v>2035</v>
      </c>
      <c r="C50" s="99">
        <v>21.614218746454753</v>
      </c>
      <c r="D50" s="14">
        <f t="shared" si="50"/>
        <v>135852.7719137015</v>
      </c>
      <c r="E50" s="5">
        <f t="shared" si="70"/>
        <v>91368.49111522749</v>
      </c>
      <c r="F50" s="167"/>
      <c r="G50" s="8">
        <f t="shared" si="51"/>
        <v>76981.92556370125</v>
      </c>
      <c r="H50" s="5">
        <f t="shared" si="69"/>
        <v>58627.725395227404</v>
      </c>
      <c r="I50" s="141"/>
      <c r="J50" s="135">
        <f t="shared" si="52"/>
        <v>757.2300000000032</v>
      </c>
      <c r="K50" s="3">
        <f t="shared" si="71"/>
        <v>466.22000000000116</v>
      </c>
      <c r="L50" s="156"/>
      <c r="M50" s="154"/>
      <c r="N50" s="2"/>
      <c r="Q50" s="115" t="s">
        <v>45</v>
      </c>
      <c r="R50" s="46">
        <f>(R49+R44)/1000</f>
        <v>-62.45598385419108</v>
      </c>
      <c r="S50" s="41">
        <f aca="true" t="shared" si="96" ref="S50:AB50">(S49+S44)/1000</f>
        <v>-41.42034855324526</v>
      </c>
      <c r="T50" s="41">
        <f t="shared" si="96"/>
        <v>-19.167436702123204</v>
      </c>
      <c r="U50" s="41">
        <f t="shared" si="96"/>
        <v>4.008785990297416</v>
      </c>
      <c r="V50" s="41">
        <f t="shared" si="96"/>
        <v>27.850763630231523</v>
      </c>
      <c r="W50" s="41">
        <f t="shared" si="96"/>
        <v>52.13363267938202</v>
      </c>
      <c r="X50" s="41">
        <f t="shared" si="96"/>
        <v>76.66184812763228</v>
      </c>
      <c r="Y50" s="41">
        <f t="shared" si="96"/>
        <v>101.2661235596852</v>
      </c>
      <c r="Z50" s="41">
        <f t="shared" si="96"/>
        <v>125.80065782009892</v>
      </c>
      <c r="AA50" s="41">
        <f t="shared" si="96"/>
        <v>150.14062323273927</v>
      </c>
      <c r="AB50" s="41">
        <f t="shared" si="96"/>
        <v>174.1798924052185</v>
      </c>
      <c r="AC50" s="41">
        <f aca="true" t="shared" si="97" ref="AC50:AP50">(AC49+AC44)/1000</f>
        <v>197.09780440557665</v>
      </c>
      <c r="AD50" s="41">
        <f t="shared" si="97"/>
        <v>218.91780660536688</v>
      </c>
      <c r="AE50" s="41">
        <f t="shared" si="97"/>
        <v>239.6688899358777</v>
      </c>
      <c r="AF50" s="41">
        <f t="shared" si="97"/>
        <v>259.3824334021153</v>
      </c>
      <c r="AG50" s="41">
        <f t="shared" si="97"/>
        <v>278.09163644904794</v>
      </c>
      <c r="AH50" s="41">
        <f t="shared" si="97"/>
        <v>295.8310268655807</v>
      </c>
      <c r="AI50" s="41">
        <f t="shared" si="97"/>
        <v>312.636035773077</v>
      </c>
      <c r="AJ50" s="41">
        <f t="shared" si="97"/>
        <v>328.54263211431703</v>
      </c>
      <c r="AK50" s="41">
        <f t="shared" si="97"/>
        <v>343.5870098428937</v>
      </c>
      <c r="AL50" s="41">
        <f t="shared" si="97"/>
        <v>357.80532172024925</v>
      </c>
      <c r="AM50" s="41">
        <f t="shared" si="97"/>
        <v>371.2334542651162</v>
      </c>
      <c r="AN50" s="41">
        <f t="shared" si="97"/>
        <v>383.9068389746777</v>
      </c>
      <c r="AO50" s="41">
        <f t="shared" si="97"/>
        <v>395.8602954542953</v>
      </c>
      <c r="AP50" s="42">
        <f t="shared" si="97"/>
        <v>407.1279025586189</v>
      </c>
      <c r="AS50" s="51"/>
      <c r="AT50" s="115" t="s">
        <v>45</v>
      </c>
      <c r="AU50" s="46">
        <f aca="true" t="shared" si="98" ref="AU50:BS50">(AU49+AU44)/1000</f>
        <v>-69.5096798264133</v>
      </c>
      <c r="AV50" s="41">
        <f t="shared" si="98"/>
        <v>-56.397205826445266</v>
      </c>
      <c r="AW50" s="41">
        <f t="shared" si="98"/>
        <v>-42.752662498233406</v>
      </c>
      <c r="AX50" s="41">
        <f t="shared" si="98"/>
        <v>-28.709674162819983</v>
      </c>
      <c r="AY50" s="41">
        <f t="shared" si="98"/>
        <v>-14.386724621987902</v>
      </c>
      <c r="AZ50" s="41">
        <f t="shared" si="98"/>
        <v>0.11150228458573111</v>
      </c>
      <c r="BA50" s="41">
        <f t="shared" si="98"/>
        <v>14.69288157357453</v>
      </c>
      <c r="BB50" s="41">
        <f t="shared" si="98"/>
        <v>29.27669958206339</v>
      </c>
      <c r="BC50" s="41">
        <f t="shared" si="98"/>
        <v>43.79259430831822</v>
      </c>
      <c r="BD50" s="41">
        <f t="shared" si="98"/>
        <v>58.17957814141078</v>
      </c>
      <c r="BE50" s="41">
        <f t="shared" si="98"/>
        <v>72.38513770923414</v>
      </c>
      <c r="BF50" s="41">
        <f t="shared" si="98"/>
        <v>85.63322764595476</v>
      </c>
      <c r="BG50" s="41">
        <f t="shared" si="98"/>
        <v>97.98400905803263</v>
      </c>
      <c r="BH50" s="41">
        <f t="shared" si="98"/>
        <v>109.4962635338156</v>
      </c>
      <c r="BI50" s="41">
        <f t="shared" si="98"/>
        <v>120.22511038207355</v>
      </c>
      <c r="BJ50" s="41">
        <f t="shared" si="98"/>
        <v>130.22221639456552</v>
      </c>
      <c r="BK50" s="41">
        <f t="shared" si="98"/>
        <v>139.53599548518517</v>
      </c>
      <c r="BL50" s="41">
        <f t="shared" si="98"/>
        <v>148.2117984829521</v>
      </c>
      <c r="BM50" s="41">
        <f t="shared" si="98"/>
        <v>156.29209337654285</v>
      </c>
      <c r="BN50" s="41">
        <f t="shared" si="98"/>
        <v>163.81663632343984</v>
      </c>
      <c r="BO50" s="41">
        <f t="shared" si="98"/>
        <v>170.82263374779512</v>
      </c>
      <c r="BP50" s="41">
        <f t="shared" si="98"/>
        <v>177.34489585835524</v>
      </c>
      <c r="BQ50" s="41">
        <f t="shared" si="98"/>
        <v>183.41598192181152</v>
      </c>
      <c r="BR50" s="41">
        <f t="shared" si="98"/>
        <v>189.066337628193</v>
      </c>
      <c r="BS50" s="42">
        <f t="shared" si="98"/>
        <v>194.32442488382551</v>
      </c>
      <c r="BT50" s="51"/>
      <c r="BV50" s="51"/>
      <c r="CW50" s="51"/>
    </row>
    <row r="51" spans="2:14" ht="15">
      <c r="B51" s="33">
        <f t="shared" si="56"/>
        <v>2036</v>
      </c>
      <c r="C51" s="99">
        <v>22.0103848886165</v>
      </c>
      <c r="D51" s="14">
        <f t="shared" si="50"/>
        <v>138599.27412719053</v>
      </c>
      <c r="E51" s="5">
        <f t="shared" si="70"/>
        <v>93649.41855336167</v>
      </c>
      <c r="F51" s="167"/>
      <c r="G51" s="8">
        <f t="shared" si="51"/>
        <v>78392.92416719029</v>
      </c>
      <c r="H51" s="5">
        <f t="shared" si="69"/>
        <v>59702.31060536159</v>
      </c>
      <c r="I51" s="141"/>
      <c r="J51" s="135">
        <f t="shared" si="52"/>
        <v>774.4080000000031</v>
      </c>
      <c r="K51" s="3">
        <f t="shared" si="71"/>
        <v>483.39800000000105</v>
      </c>
      <c r="L51" s="156"/>
      <c r="M51" s="154"/>
      <c r="N51" s="2"/>
    </row>
    <row r="52" spans="2:14" ht="15">
      <c r="B52" s="33">
        <f>B51+1</f>
        <v>2037</v>
      </c>
      <c r="C52" s="99">
        <v>22.406356402352685</v>
      </c>
      <c r="D52" s="14">
        <f t="shared" si="50"/>
        <v>141345.08314555904</v>
      </c>
      <c r="E52" s="5">
        <f t="shared" si="70"/>
        <v>95929.81806948202</v>
      </c>
      <c r="F52" s="167"/>
      <c r="G52" s="8">
        <f t="shared" si="51"/>
        <v>79803.2295755588</v>
      </c>
      <c r="H52" s="5">
        <f t="shared" si="69"/>
        <v>60776.36789348196</v>
      </c>
      <c r="I52" s="141"/>
      <c r="J52" s="135">
        <f t="shared" si="52"/>
        <v>791.586000000003</v>
      </c>
      <c r="K52" s="3">
        <f t="shared" si="71"/>
        <v>500.57600000000093</v>
      </c>
      <c r="L52" s="156"/>
      <c r="M52" s="154"/>
      <c r="N52" s="2"/>
    </row>
    <row r="53" spans="2:14" ht="15">
      <c r="B53" s="33">
        <f t="shared" si="56"/>
        <v>2038</v>
      </c>
      <c r="C53" s="99">
        <v>22.802133478804535</v>
      </c>
      <c r="D53" s="14">
        <f t="shared" si="50"/>
        <v>144090.19964958198</v>
      </c>
      <c r="E53" s="5">
        <f t="shared" si="70"/>
        <v>98209.69018205168</v>
      </c>
      <c r="F53" s="167"/>
      <c r="G53" s="8">
        <f t="shared" si="51"/>
        <v>81212.84246958177</v>
      </c>
      <c r="H53" s="5">
        <f t="shared" si="69"/>
        <v>61849.89777805163</v>
      </c>
      <c r="I53" s="141"/>
      <c r="J53" s="135">
        <f t="shared" si="52"/>
        <v>808.7640000000029</v>
      </c>
      <c r="K53" s="3">
        <f t="shared" si="71"/>
        <v>517.7540000000008</v>
      </c>
      <c r="L53" s="156"/>
      <c r="M53" s="154"/>
      <c r="N53" s="2"/>
    </row>
    <row r="54" spans="2:14" ht="15">
      <c r="B54" s="33">
        <f t="shared" si="56"/>
        <v>2039</v>
      </c>
      <c r="C54" s="99">
        <v>23.19771630883224</v>
      </c>
      <c r="D54" s="14">
        <f t="shared" si="50"/>
        <v>146834.62431903346</v>
      </c>
      <c r="E54" s="5">
        <f t="shared" si="70"/>
        <v>100489.03540877145</v>
      </c>
      <c r="F54" s="167"/>
      <c r="G54" s="8">
        <f t="shared" si="51"/>
        <v>82621.76352903325</v>
      </c>
      <c r="H54" s="5">
        <f t="shared" si="69"/>
        <v>62922.9007767714</v>
      </c>
      <c r="I54" s="141"/>
      <c r="J54" s="135">
        <f t="shared" si="52"/>
        <v>825.9420000000027</v>
      </c>
      <c r="K54" s="3">
        <f t="shared" si="71"/>
        <v>534.9320000000007</v>
      </c>
      <c r="L54" s="156"/>
      <c r="M54" s="154"/>
      <c r="N54" s="2"/>
    </row>
    <row r="55" spans="2:14" ht="15">
      <c r="B55" s="33">
        <f t="shared" si="56"/>
        <v>2040</v>
      </c>
      <c r="C55" s="99">
        <v>23.593105083010414</v>
      </c>
      <c r="D55" s="14">
        <f t="shared" si="50"/>
        <v>149578.3578326704</v>
      </c>
      <c r="E55" s="5">
        <f t="shared" si="70"/>
        <v>102767.85426656753</v>
      </c>
      <c r="F55" s="167"/>
      <c r="G55" s="8">
        <f t="shared" si="51"/>
        <v>84029.99343267016</v>
      </c>
      <c r="H55" s="5">
        <f t="shared" si="69"/>
        <v>63995.3774065675</v>
      </c>
      <c r="I55" s="141"/>
      <c r="J55" s="135">
        <f t="shared" si="52"/>
        <v>843.1200000000026</v>
      </c>
      <c r="K55" s="3">
        <f t="shared" si="71"/>
        <v>552.1100000000006</v>
      </c>
      <c r="L55" s="156"/>
      <c r="M55" s="154"/>
      <c r="N55" s="2"/>
    </row>
    <row r="56" spans="2:14" ht="15">
      <c r="B56" s="33">
        <f t="shared" si="56"/>
        <v>2041</v>
      </c>
      <c r="C56" s="99">
        <v>23.988299991638996</v>
      </c>
      <c r="D56" s="14">
        <f t="shared" si="50"/>
        <v>152321.40086827136</v>
      </c>
      <c r="E56" s="5">
        <f t="shared" si="70"/>
        <v>105046.14727162113</v>
      </c>
      <c r="F56" s="167"/>
      <c r="G56" s="8">
        <f t="shared" si="51"/>
        <v>85437.53285827117</v>
      </c>
      <c r="H56" s="5">
        <f t="shared" si="69"/>
        <v>65067.328183621095</v>
      </c>
      <c r="I56" s="141"/>
      <c r="J56" s="135">
        <f t="shared" si="52"/>
        <v>860.2980000000025</v>
      </c>
      <c r="K56" s="3">
        <f t="shared" si="71"/>
        <v>569.2880000000005</v>
      </c>
      <c r="L56" s="156"/>
      <c r="M56" s="154"/>
      <c r="N56" s="2"/>
    </row>
    <row r="57" spans="2:14" ht="15">
      <c r="B57" s="33">
        <f t="shared" si="56"/>
        <v>2042</v>
      </c>
      <c r="C57" s="99">
        <v>24.383301224735078</v>
      </c>
      <c r="D57" s="14">
        <f t="shared" si="50"/>
        <v>155063.75410260767</v>
      </c>
      <c r="E57" s="5">
        <f t="shared" si="70"/>
        <v>107323.91493934614</v>
      </c>
      <c r="F57" s="167"/>
      <c r="G57" s="8">
        <f t="shared" si="51"/>
        <v>86844.38248260747</v>
      </c>
      <c r="H57" s="5">
        <f t="shared" si="69"/>
        <v>66138.75362334613</v>
      </c>
      <c r="I57" s="141"/>
      <c r="J57" s="135">
        <f t="shared" si="52"/>
        <v>877.4760000000024</v>
      </c>
      <c r="K57" s="3">
        <f t="shared" si="71"/>
        <v>586.4660000000003</v>
      </c>
      <c r="L57" s="156"/>
      <c r="M57" s="154"/>
      <c r="N57" s="2"/>
    </row>
    <row r="58" spans="2:14" ht="15">
      <c r="B58" s="33">
        <f t="shared" si="56"/>
        <v>2043</v>
      </c>
      <c r="C58" s="99">
        <v>24.778108972035625</v>
      </c>
      <c r="D58" s="14">
        <f t="shared" si="50"/>
        <v>157805.41821145284</v>
      </c>
      <c r="E58" s="5">
        <f t="shared" si="70"/>
        <v>109601.15778439672</v>
      </c>
      <c r="F58" s="167"/>
      <c r="G58" s="8">
        <f t="shared" si="51"/>
        <v>88250.54298145264</v>
      </c>
      <c r="H58" s="5">
        <f t="shared" si="69"/>
        <v>67209.65424039672</v>
      </c>
      <c r="I58" s="141"/>
      <c r="J58" s="135">
        <f t="shared" si="52"/>
        <v>894.6540000000023</v>
      </c>
      <c r="K58" s="3">
        <f t="shared" si="71"/>
        <v>603.6440000000002</v>
      </c>
      <c r="L58" s="156"/>
      <c r="M58" s="154"/>
      <c r="N58" s="2"/>
    </row>
    <row r="59" spans="2:14" ht="15">
      <c r="B59" s="33">
        <f t="shared" si="56"/>
        <v>2044</v>
      </c>
      <c r="C59" s="99">
        <v>25.172723423002935</v>
      </c>
      <c r="D59" s="14">
        <f t="shared" si="50"/>
        <v>160546.39386960212</v>
      </c>
      <c r="E59" s="5">
        <f t="shared" si="70"/>
        <v>111877.87632068196</v>
      </c>
      <c r="F59" s="167"/>
      <c r="G59" s="8">
        <f t="shared" si="51"/>
        <v>89656.01502960193</v>
      </c>
      <c r="H59" s="5">
        <f t="shared" si="69"/>
        <v>68280.03054868196</v>
      </c>
      <c r="I59" s="141"/>
      <c r="J59" s="135">
        <f t="shared" si="52"/>
        <v>911.8320000000022</v>
      </c>
      <c r="K59" s="3">
        <f t="shared" si="71"/>
        <v>620.8220000000001</v>
      </c>
      <c r="L59" s="156"/>
      <c r="M59" s="154"/>
      <c r="N59" s="2"/>
    </row>
    <row r="60" spans="2:14" ht="15">
      <c r="B60" s="33">
        <f t="shared" si="56"/>
        <v>2045</v>
      </c>
      <c r="C60" s="99">
        <v>25.567144766817364</v>
      </c>
      <c r="D60" s="14">
        <f t="shared" si="50"/>
        <v>163286.68175084656</v>
      </c>
      <c r="E60" s="5">
        <f t="shared" si="70"/>
        <v>114154.07106134619</v>
      </c>
      <c r="F60" s="167"/>
      <c r="G60" s="8">
        <f t="shared" si="51"/>
        <v>91060.7993008464</v>
      </c>
      <c r="H60" s="5">
        <f t="shared" si="69"/>
        <v>69349.88306134619</v>
      </c>
      <c r="I60" s="141"/>
      <c r="J60" s="135">
        <f t="shared" si="52"/>
        <v>929.010000000002</v>
      </c>
      <c r="K60" s="3">
        <f t="shared" si="71"/>
        <v>638</v>
      </c>
      <c r="L60" s="156"/>
      <c r="M60" s="154"/>
      <c r="N60" s="2"/>
    </row>
    <row r="61" spans="2:14" ht="15">
      <c r="B61" s="33">
        <f t="shared" si="56"/>
        <v>2046</v>
      </c>
      <c r="C61" s="99">
        <v>25.96137319238278</v>
      </c>
      <c r="D61" s="14">
        <f t="shared" si="50"/>
        <v>166026.2825279926</v>
      </c>
      <c r="E61" s="5">
        <f t="shared" si="70"/>
        <v>116429.74251878378</v>
      </c>
      <c r="F61" s="167"/>
      <c r="G61" s="8">
        <f t="shared" si="51"/>
        <v>92464.89646799244</v>
      </c>
      <c r="H61" s="5">
        <f t="shared" si="69"/>
        <v>70419.21229078379</v>
      </c>
      <c r="I61" s="141"/>
      <c r="J61" s="135">
        <f t="shared" si="52"/>
        <v>946.1880000000019</v>
      </c>
      <c r="K61" s="3">
        <f t="shared" si="71"/>
        <v>655.1779999999999</v>
      </c>
      <c r="L61" s="156"/>
      <c r="M61" s="154"/>
      <c r="N61" s="2"/>
    </row>
    <row r="62" spans="2:14" ht="15">
      <c r="B62" s="33">
        <f t="shared" si="56"/>
        <v>2047</v>
      </c>
      <c r="C62" s="99">
        <v>26.355408888326565</v>
      </c>
      <c r="D62" s="14">
        <f t="shared" si="50"/>
        <v>168765.19687286176</v>
      </c>
      <c r="E62" s="5">
        <f t="shared" si="70"/>
        <v>118704.89120463915</v>
      </c>
      <c r="F62" s="167"/>
      <c r="G62" s="8">
        <f t="shared" si="51"/>
        <v>93868.30720286164</v>
      </c>
      <c r="H62" s="5">
        <f t="shared" si="69"/>
        <v>71488.01874863917</v>
      </c>
      <c r="I62" s="141"/>
      <c r="J62" s="135">
        <f t="shared" si="52"/>
        <v>963.3660000000018</v>
      </c>
      <c r="K62" s="3">
        <f t="shared" si="71"/>
        <v>672.3559999999998</v>
      </c>
      <c r="L62" s="156"/>
      <c r="M62" s="154"/>
      <c r="N62" s="2"/>
    </row>
    <row r="63" spans="2:14" ht="15">
      <c r="B63" s="33">
        <f t="shared" si="56"/>
        <v>2048</v>
      </c>
      <c r="C63" s="99">
        <v>26.749252042998705</v>
      </c>
      <c r="D63" s="14">
        <f t="shared" si="50"/>
        <v>171503.42545628775</v>
      </c>
      <c r="E63" s="5">
        <f t="shared" si="70"/>
        <v>120979.51762980426</v>
      </c>
      <c r="F63" s="167"/>
      <c r="G63" s="8">
        <f t="shared" si="51"/>
        <v>95271.03217628763</v>
      </c>
      <c r="H63" s="5">
        <f t="shared" si="69"/>
        <v>72556.3029458043</v>
      </c>
      <c r="I63" s="141"/>
      <c r="J63" s="135">
        <f t="shared" si="52"/>
        <v>980.5440000000017</v>
      </c>
      <c r="K63" s="3">
        <f t="shared" si="71"/>
        <v>689.5339999999997</v>
      </c>
      <c r="L63" s="156"/>
      <c r="M63" s="154"/>
      <c r="N63" s="2"/>
    </row>
    <row r="64" spans="2:14" ht="15">
      <c r="B64" s="33">
        <f>B63+1</f>
        <v>2049</v>
      </c>
      <c r="C64" s="99">
        <v>27.14290284447543</v>
      </c>
      <c r="D64" s="14">
        <f t="shared" si="50"/>
        <v>174240.9689481291</v>
      </c>
      <c r="E64" s="5">
        <f t="shared" si="70"/>
        <v>123253.62230442863</v>
      </c>
      <c r="F64" s="167"/>
      <c r="G64" s="8">
        <f t="shared" si="51"/>
        <v>96673.07205812898</v>
      </c>
      <c r="H64" s="5">
        <f t="shared" si="69"/>
        <v>73624.06539242866</v>
      </c>
      <c r="I64" s="141"/>
      <c r="J64" s="135">
        <f t="shared" si="52"/>
        <v>997.7220000000016</v>
      </c>
      <c r="K64" s="3">
        <f t="shared" si="71"/>
        <v>706.7119999999995</v>
      </c>
      <c r="L64" s="156"/>
      <c r="M64" s="154"/>
      <c r="N64" s="2"/>
    </row>
    <row r="65" spans="2:14" ht="15">
      <c r="B65" s="33">
        <f t="shared" si="56"/>
        <v>2050</v>
      </c>
      <c r="C65" s="100">
        <v>27.53636148055375</v>
      </c>
      <c r="D65" s="14">
        <f t="shared" si="50"/>
        <v>176977.82801724994</v>
      </c>
      <c r="E65" s="5">
        <f t="shared" si="70"/>
        <v>125527.20573790427</v>
      </c>
      <c r="F65" s="10">
        <f>$H$22*365*C65/100+L65*365*$J$22/100</f>
        <v>37778.9057940315</v>
      </c>
      <c r="G65" s="8">
        <f t="shared" si="51"/>
        <v>98074.42751724983</v>
      </c>
      <c r="H65" s="5">
        <f t="shared" si="69"/>
        <v>74691.3065979043</v>
      </c>
      <c r="I65" s="9">
        <f aca="true" t="shared" si="99" ref="I65:I75">$H$22*365*C65/100</f>
        <v>30725.20982180928</v>
      </c>
      <c r="J65" s="135">
        <f t="shared" si="52"/>
        <v>1014.9000000000015</v>
      </c>
      <c r="K65" s="3">
        <f t="shared" si="71"/>
        <v>723.8899999999994</v>
      </c>
      <c r="L65" s="142">
        <f>17.178*B65-35137.15</f>
        <v>77.75</v>
      </c>
      <c r="M65" s="84">
        <f>L65*365*C65/100</f>
        <v>7814.475183662647</v>
      </c>
      <c r="N65" s="2"/>
    </row>
    <row r="66" spans="2:14" ht="15">
      <c r="B66" s="33">
        <f t="shared" si="56"/>
        <v>2051</v>
      </c>
      <c r="C66" s="84">
        <f>0.3962*B66-784.6</f>
        <v>28.00619999999992</v>
      </c>
      <c r="D66" s="14">
        <f t="shared" si="50"/>
        <v>179986.72423769982</v>
      </c>
      <c r="E66" s="5">
        <f t="shared" si="70"/>
        <v>128007.96662619972</v>
      </c>
      <c r="F66" s="10">
        <f aca="true" t="shared" si="100" ref="F66:F89">$H$22*365*C66/100+L66*365*$J$22/100</f>
        <v>39861.58983988879</v>
      </c>
      <c r="G66" s="8">
        <f t="shared" si="51"/>
        <v>99747.82012769971</v>
      </c>
      <c r="H66" s="5">
        <f t="shared" si="69"/>
        <v>75965.72525819977</v>
      </c>
      <c r="I66" s="9">
        <f t="shared" si="99"/>
        <v>31249.457990999912</v>
      </c>
      <c r="J66" s="135">
        <f t="shared" si="52"/>
        <v>1032.0780000000013</v>
      </c>
      <c r="K66" s="3">
        <f t="shared" si="71"/>
        <v>741.0679999999993</v>
      </c>
      <c r="L66" s="142">
        <f aca="true" t="shared" si="101" ref="L66:L89">17.178*B66-35137.15</f>
        <v>94.92799999999988</v>
      </c>
      <c r="M66" s="84">
        <f aca="true" t="shared" si="102" ref="M66:M89">L66*365*C66/100</f>
        <v>9703.789820639962</v>
      </c>
      <c r="N66" s="2"/>
    </row>
    <row r="67" spans="2:14" ht="15">
      <c r="B67" s="33">
        <f t="shared" si="56"/>
        <v>2052</v>
      </c>
      <c r="C67" s="84">
        <f aca="true" t="shared" si="103" ref="C67:C89">0.3962*B67-784.6</f>
        <v>28.402399999999943</v>
      </c>
      <c r="D67" s="14">
        <f t="shared" si="50"/>
        <v>182733.3470403999</v>
      </c>
      <c r="E67" s="5">
        <f t="shared" si="70"/>
        <v>130288.98590239977</v>
      </c>
      <c r="F67" s="10">
        <f t="shared" si="100"/>
        <v>41862.10765755547</v>
      </c>
      <c r="G67" s="8">
        <f t="shared" si="51"/>
        <v>101158.9393203998</v>
      </c>
      <c r="H67" s="5">
        <f t="shared" si="69"/>
        <v>77040.40230639983</v>
      </c>
      <c r="I67" s="9">
        <f t="shared" si="99"/>
        <v>31691.539931999938</v>
      </c>
      <c r="J67" s="135">
        <f t="shared" si="52"/>
        <v>1049.2560000000012</v>
      </c>
      <c r="K67" s="3">
        <f t="shared" si="71"/>
        <v>758.2459999999992</v>
      </c>
      <c r="L67" s="142">
        <f t="shared" si="101"/>
        <v>112.10599999999977</v>
      </c>
      <c r="M67" s="84">
        <f t="shared" si="102"/>
        <v>11621.890008559953</v>
      </c>
      <c r="N67" s="2"/>
    </row>
    <row r="68" spans="2:14" ht="15">
      <c r="B68" s="33">
        <f t="shared" si="56"/>
        <v>2053</v>
      </c>
      <c r="C68" s="84">
        <f t="shared" si="103"/>
        <v>28.798599999999965</v>
      </c>
      <c r="D68" s="14">
        <f t="shared" si="50"/>
        <v>185479.96984309994</v>
      </c>
      <c r="E68" s="5">
        <f t="shared" si="70"/>
        <v>132570.00517859985</v>
      </c>
      <c r="F68" s="10">
        <f t="shared" si="100"/>
        <v>43862.62547522215</v>
      </c>
      <c r="G68" s="8">
        <f t="shared" si="51"/>
        <v>102570.05851309987</v>
      </c>
      <c r="H68" s="5">
        <f t="shared" si="69"/>
        <v>78115.0793545999</v>
      </c>
      <c r="I68" s="9">
        <f t="shared" si="99"/>
        <v>32133.62187299996</v>
      </c>
      <c r="J68" s="135">
        <f t="shared" si="52"/>
        <v>1066.434000000001</v>
      </c>
      <c r="K68" s="3">
        <f t="shared" si="71"/>
        <v>775.4239999999991</v>
      </c>
      <c r="L68" s="142">
        <f t="shared" si="101"/>
        <v>129.28399999999965</v>
      </c>
      <c r="M68" s="84">
        <f t="shared" si="102"/>
        <v>13589.673438759946</v>
      </c>
      <c r="N68" s="2"/>
    </row>
    <row r="69" spans="2:14" ht="15">
      <c r="B69" s="33">
        <f t="shared" si="56"/>
        <v>2054</v>
      </c>
      <c r="C69" s="84">
        <f t="shared" si="103"/>
        <v>29.194799999999987</v>
      </c>
      <c r="D69" s="14">
        <f t="shared" si="50"/>
        <v>188226.59264580003</v>
      </c>
      <c r="E69" s="5">
        <f t="shared" si="70"/>
        <v>134851.0244547999</v>
      </c>
      <c r="F69" s="10">
        <f t="shared" si="100"/>
        <v>45863.14329288883</v>
      </c>
      <c r="G69" s="8">
        <f t="shared" si="51"/>
        <v>103981.17770579994</v>
      </c>
      <c r="H69" s="5">
        <f t="shared" si="69"/>
        <v>79189.75640279995</v>
      </c>
      <c r="I69" s="9">
        <f t="shared" si="99"/>
        <v>32575.703813999986</v>
      </c>
      <c r="J69" s="135">
        <f t="shared" si="52"/>
        <v>1083.612000000001</v>
      </c>
      <c r="K69" s="3">
        <f t="shared" si="71"/>
        <v>792.601999999999</v>
      </c>
      <c r="L69" s="142">
        <f t="shared" si="101"/>
        <v>146.46199999999953</v>
      </c>
      <c r="M69" s="84">
        <f t="shared" si="102"/>
        <v>15607.140111239944</v>
      </c>
      <c r="N69" s="2"/>
    </row>
    <row r="70" spans="2:14" ht="15">
      <c r="B70" s="33">
        <f t="shared" si="56"/>
        <v>2055</v>
      </c>
      <c r="C70" s="84">
        <f t="shared" si="103"/>
        <v>29.591000000000008</v>
      </c>
      <c r="D70" s="14">
        <f t="shared" si="50"/>
        <v>190973.2154485001</v>
      </c>
      <c r="E70" s="5">
        <f t="shared" si="70"/>
        <v>137132.04373099993</v>
      </c>
      <c r="F70" s="10">
        <f t="shared" si="100"/>
        <v>47863.661110555506</v>
      </c>
      <c r="G70" s="8">
        <f t="shared" si="51"/>
        <v>105392.29689850002</v>
      </c>
      <c r="H70" s="5">
        <f t="shared" si="69"/>
        <v>80264.43345100002</v>
      </c>
      <c r="I70" s="9">
        <f t="shared" si="99"/>
        <v>33017.785755000004</v>
      </c>
      <c r="J70" s="135">
        <f t="shared" si="52"/>
        <v>1100.7900000000009</v>
      </c>
      <c r="K70" s="3">
        <f t="shared" si="71"/>
        <v>809.7799999999988</v>
      </c>
      <c r="L70" s="142">
        <f t="shared" si="101"/>
        <v>163.63999999999942</v>
      </c>
      <c r="M70" s="84">
        <f t="shared" si="102"/>
        <v>17674.29002599994</v>
      </c>
      <c r="N70" s="2"/>
    </row>
    <row r="71" spans="2:14" ht="15">
      <c r="B71" s="33">
        <f t="shared" si="56"/>
        <v>2056</v>
      </c>
      <c r="C71" s="84">
        <f t="shared" si="103"/>
        <v>29.987199999999916</v>
      </c>
      <c r="D71" s="14">
        <f t="shared" si="50"/>
        <v>193719.83825119978</v>
      </c>
      <c r="E71" s="5">
        <f t="shared" si="70"/>
        <v>139413.06300719967</v>
      </c>
      <c r="F71" s="10">
        <f t="shared" si="100"/>
        <v>49864.17892822206</v>
      </c>
      <c r="G71" s="8">
        <f t="shared" si="51"/>
        <v>106803.4160911997</v>
      </c>
      <c r="H71" s="5">
        <f t="shared" si="69"/>
        <v>81339.11049919977</v>
      </c>
      <c r="I71" s="9">
        <f t="shared" si="99"/>
        <v>33459.86769599991</v>
      </c>
      <c r="J71" s="135">
        <f t="shared" si="52"/>
        <v>1117.9680000000008</v>
      </c>
      <c r="K71" s="3">
        <f t="shared" si="71"/>
        <v>826.9579999999987</v>
      </c>
      <c r="L71" s="142">
        <f t="shared" si="101"/>
        <v>180.8179999999993</v>
      </c>
      <c r="M71" s="84">
        <f t="shared" si="102"/>
        <v>19791.12318303987</v>
      </c>
      <c r="N71" s="2"/>
    </row>
    <row r="72" spans="2:14" ht="15">
      <c r="B72" s="33">
        <f t="shared" si="56"/>
        <v>2057</v>
      </c>
      <c r="C72" s="84">
        <f t="shared" si="103"/>
        <v>30.383399999999938</v>
      </c>
      <c r="D72" s="14">
        <f t="shared" si="50"/>
        <v>196466.46105389984</v>
      </c>
      <c r="E72" s="5">
        <f t="shared" si="70"/>
        <v>141694.0822833997</v>
      </c>
      <c r="F72" s="10">
        <f t="shared" si="100"/>
        <v>51864.69674588875</v>
      </c>
      <c r="G72" s="8">
        <f t="shared" si="51"/>
        <v>108214.53528389978</v>
      </c>
      <c r="H72" s="5">
        <f t="shared" si="69"/>
        <v>82413.78754739981</v>
      </c>
      <c r="I72" s="9">
        <f t="shared" si="99"/>
        <v>33901.94963699993</v>
      </c>
      <c r="J72" s="135">
        <f t="shared" si="52"/>
        <v>1135.1460000000006</v>
      </c>
      <c r="K72" s="3">
        <f t="shared" si="71"/>
        <v>844.1359999999986</v>
      </c>
      <c r="L72" s="142">
        <f t="shared" si="101"/>
        <v>197.99599999999919</v>
      </c>
      <c r="M72" s="84">
        <f t="shared" si="102"/>
        <v>21957.639582359865</v>
      </c>
      <c r="N72" s="2"/>
    </row>
    <row r="73" spans="2:14" ht="15">
      <c r="B73" s="33">
        <f t="shared" si="56"/>
        <v>2058</v>
      </c>
      <c r="C73" s="84">
        <f t="shared" si="103"/>
        <v>30.77959999999996</v>
      </c>
      <c r="D73" s="14">
        <f t="shared" si="50"/>
        <v>199213.08385659987</v>
      </c>
      <c r="E73" s="5">
        <f t="shared" si="70"/>
        <v>143975.10155959977</v>
      </c>
      <c r="F73" s="10">
        <f t="shared" si="100"/>
        <v>53865.214563555426</v>
      </c>
      <c r="G73" s="8">
        <f t="shared" si="51"/>
        <v>109625.65447659984</v>
      </c>
      <c r="H73" s="5">
        <f t="shared" si="69"/>
        <v>83488.46459559989</v>
      </c>
      <c r="I73" s="9">
        <f t="shared" si="99"/>
        <v>34344.03157799996</v>
      </c>
      <c r="J73" s="135">
        <f t="shared" si="52"/>
        <v>1152.3240000000005</v>
      </c>
      <c r="K73" s="3">
        <f t="shared" si="71"/>
        <v>861.3139999999985</v>
      </c>
      <c r="L73" s="142">
        <f t="shared" si="101"/>
        <v>215.17399999999907</v>
      </c>
      <c r="M73" s="84">
        <f t="shared" si="102"/>
        <v>24173.839223959865</v>
      </c>
      <c r="N73" s="2"/>
    </row>
    <row r="74" spans="2:14" ht="15">
      <c r="B74" s="33">
        <f t="shared" si="56"/>
        <v>2059</v>
      </c>
      <c r="C74" s="84">
        <f t="shared" si="103"/>
        <v>31.17579999999998</v>
      </c>
      <c r="D74" s="14">
        <f t="shared" si="50"/>
        <v>201959.70665929996</v>
      </c>
      <c r="E74" s="5">
        <f t="shared" si="70"/>
        <v>146256.1208357998</v>
      </c>
      <c r="F74" s="10">
        <f t="shared" si="100"/>
        <v>55865.7323812221</v>
      </c>
      <c r="G74" s="8">
        <f t="shared" si="51"/>
        <v>111036.77366929993</v>
      </c>
      <c r="H74" s="5">
        <f t="shared" si="69"/>
        <v>84563.14164379993</v>
      </c>
      <c r="I74" s="9">
        <f t="shared" si="99"/>
        <v>34786.11351899998</v>
      </c>
      <c r="J74" s="135">
        <f t="shared" si="52"/>
        <v>1169.5020000000004</v>
      </c>
      <c r="K74" s="3">
        <f t="shared" si="71"/>
        <v>878.4919999999984</v>
      </c>
      <c r="L74" s="142">
        <f t="shared" si="101"/>
        <v>232.35199999999895</v>
      </c>
      <c r="M74" s="84">
        <f t="shared" si="102"/>
        <v>26439.722107839865</v>
      </c>
      <c r="N74" s="2"/>
    </row>
    <row r="75" spans="2:14" ht="15">
      <c r="B75" s="33">
        <f t="shared" si="56"/>
        <v>2060</v>
      </c>
      <c r="C75" s="84">
        <f t="shared" si="103"/>
        <v>31.572000000000003</v>
      </c>
      <c r="D75" s="14">
        <f t="shared" si="50"/>
        <v>204706.32946200005</v>
      </c>
      <c r="E75" s="5">
        <f t="shared" si="70"/>
        <v>148537.14011199988</v>
      </c>
      <c r="F75" s="10">
        <f t="shared" si="100"/>
        <v>57866.25019888878</v>
      </c>
      <c r="G75" s="8">
        <f t="shared" si="51"/>
        <v>112447.892862</v>
      </c>
      <c r="H75" s="5">
        <f t="shared" si="69"/>
        <v>85637.818692</v>
      </c>
      <c r="I75" s="9">
        <f t="shared" si="99"/>
        <v>35228.19546</v>
      </c>
      <c r="J75" s="135">
        <f t="shared" si="52"/>
        <v>1186.6800000000003</v>
      </c>
      <c r="K75" s="3">
        <f t="shared" si="71"/>
        <v>895.6699999999983</v>
      </c>
      <c r="L75" s="142">
        <f t="shared" si="101"/>
        <v>249.52999999999884</v>
      </c>
      <c r="M75" s="84">
        <f t="shared" si="102"/>
        <v>28755.288233999865</v>
      </c>
      <c r="N75" s="2"/>
    </row>
    <row r="76" spans="2:14" ht="15">
      <c r="B76" s="33">
        <v>2061</v>
      </c>
      <c r="C76" s="84">
        <f t="shared" si="103"/>
        <v>31.968200000000024</v>
      </c>
      <c r="D76" s="14">
        <f aca="true" t="shared" si="104" ref="D76:D89">($H$20*365*C76/100)+J76*365*$J$20/100</f>
        <v>207452.95226470008</v>
      </c>
      <c r="E76" s="5">
        <f t="shared" si="70"/>
        <v>150818.1593881999</v>
      </c>
      <c r="F76" s="10">
        <f t="shared" si="100"/>
        <v>59866.76801655546</v>
      </c>
      <c r="G76" s="8">
        <f aca="true" t="shared" si="105" ref="G76:G89">($H$20*365*C76/100)</f>
        <v>113859.01205470008</v>
      </c>
      <c r="H76" s="5">
        <f aca="true" t="shared" si="106" ref="H76:H89">+$H$21*365*C76/100</f>
        <v>86712.49574020006</v>
      </c>
      <c r="I76" s="9">
        <f aca="true" t="shared" si="107" ref="I76:I89">$H$22*365*C76/100</f>
        <v>35670.27740100003</v>
      </c>
      <c r="J76" s="135">
        <f t="shared" si="52"/>
        <v>1203.8580000000002</v>
      </c>
      <c r="K76" s="3">
        <f t="shared" si="71"/>
        <v>912.8479999999981</v>
      </c>
      <c r="L76" s="142">
        <f t="shared" si="101"/>
        <v>266.7079999999987</v>
      </c>
      <c r="M76" s="84">
        <f t="shared" si="102"/>
        <v>31120.537602439872</v>
      </c>
      <c r="N76" s="2"/>
    </row>
    <row r="77" spans="2:14" ht="15">
      <c r="B77" s="33">
        <v>2062</v>
      </c>
      <c r="C77" s="84">
        <f t="shared" si="103"/>
        <v>32.36439999999993</v>
      </c>
      <c r="D77" s="14">
        <f t="shared" si="104"/>
        <v>210199.57506739977</v>
      </c>
      <c r="E77" s="5">
        <f t="shared" si="70"/>
        <v>153099.17866439966</v>
      </c>
      <c r="F77" s="10">
        <f t="shared" si="100"/>
        <v>61867.28583422202</v>
      </c>
      <c r="G77" s="8">
        <f t="shared" si="105"/>
        <v>115270.13124739975</v>
      </c>
      <c r="H77" s="5">
        <f t="shared" si="106"/>
        <v>87787.17278839981</v>
      </c>
      <c r="I77" s="9">
        <f t="shared" si="107"/>
        <v>36112.35934199992</v>
      </c>
      <c r="J77" s="135">
        <f t="shared" si="52"/>
        <v>1221.036</v>
      </c>
      <c r="K77" s="3">
        <f t="shared" si="71"/>
        <v>930.025999999998</v>
      </c>
      <c r="L77" s="142">
        <f t="shared" si="101"/>
        <v>283.8859999999986</v>
      </c>
      <c r="M77" s="84">
        <f t="shared" si="102"/>
        <v>33535.470213159766</v>
      </c>
      <c r="N77" s="2"/>
    </row>
    <row r="78" spans="2:14" ht="15">
      <c r="B78" s="33">
        <v>2063</v>
      </c>
      <c r="C78" s="84">
        <f t="shared" si="103"/>
        <v>32.760599999999954</v>
      </c>
      <c r="D78" s="14">
        <f t="shared" si="104"/>
        <v>212946.19787009983</v>
      </c>
      <c r="E78" s="5">
        <f t="shared" si="70"/>
        <v>155380.1979405997</v>
      </c>
      <c r="F78" s="10">
        <f t="shared" si="100"/>
        <v>63867.803651888695</v>
      </c>
      <c r="G78" s="8">
        <f t="shared" si="105"/>
        <v>116681.25044009983</v>
      </c>
      <c r="H78" s="5">
        <f t="shared" si="106"/>
        <v>88861.84983659987</v>
      </c>
      <c r="I78" s="9">
        <f t="shared" si="107"/>
        <v>36554.44128299995</v>
      </c>
      <c r="J78" s="135">
        <f t="shared" si="52"/>
        <v>1238.214</v>
      </c>
      <c r="K78" s="3">
        <f t="shared" si="71"/>
        <v>947.2039999999979</v>
      </c>
      <c r="L78" s="142">
        <f t="shared" si="101"/>
        <v>301.0639999999985</v>
      </c>
      <c r="M78" s="84">
        <f t="shared" si="102"/>
        <v>36000.08606615977</v>
      </c>
      <c r="N78" s="2"/>
    </row>
    <row r="79" spans="2:14" ht="15">
      <c r="B79" s="33">
        <v>2064</v>
      </c>
      <c r="C79" s="84">
        <f t="shared" si="103"/>
        <v>33.156799999999976</v>
      </c>
      <c r="D79" s="14">
        <f t="shared" si="104"/>
        <v>215692.8206727999</v>
      </c>
      <c r="E79" s="5">
        <f t="shared" si="70"/>
        <v>157661.2172167998</v>
      </c>
      <c r="F79" s="10">
        <f t="shared" si="100"/>
        <v>65868.32146955538</v>
      </c>
      <c r="G79" s="8">
        <f t="shared" si="105"/>
        <v>118092.3696327999</v>
      </c>
      <c r="H79" s="5">
        <f t="shared" si="106"/>
        <v>89936.52688479994</v>
      </c>
      <c r="I79" s="9">
        <f t="shared" si="107"/>
        <v>36996.523223999975</v>
      </c>
      <c r="J79" s="135">
        <f t="shared" si="52"/>
        <v>1255.3919999999998</v>
      </c>
      <c r="K79" s="3">
        <f t="shared" si="71"/>
        <v>964.3819999999978</v>
      </c>
      <c r="L79" s="142">
        <f t="shared" si="101"/>
        <v>318.24199999999837</v>
      </c>
      <c r="M79" s="84">
        <f t="shared" si="102"/>
        <v>38514.38516143978</v>
      </c>
      <c r="N79" s="2"/>
    </row>
    <row r="80" spans="2:14" ht="15">
      <c r="B80" s="33">
        <v>2065</v>
      </c>
      <c r="C80" s="84">
        <f t="shared" si="103"/>
        <v>33.553</v>
      </c>
      <c r="D80" s="14">
        <f t="shared" si="104"/>
        <v>218439.44347549995</v>
      </c>
      <c r="E80" s="5">
        <f t="shared" si="70"/>
        <v>159942.23649299983</v>
      </c>
      <c r="F80" s="10">
        <f t="shared" si="100"/>
        <v>67868.83928722206</v>
      </c>
      <c r="G80" s="8">
        <f t="shared" si="105"/>
        <v>119503.48882549997</v>
      </c>
      <c r="H80" s="5">
        <f t="shared" si="106"/>
        <v>91011.20393299998</v>
      </c>
      <c r="I80" s="9">
        <f t="shared" si="107"/>
        <v>37438.605165</v>
      </c>
      <c r="J80" s="135">
        <f t="shared" si="52"/>
        <v>1272.5699999999997</v>
      </c>
      <c r="K80" s="3">
        <f t="shared" si="71"/>
        <v>981.5599999999977</v>
      </c>
      <c r="L80" s="142">
        <f t="shared" si="101"/>
        <v>335.41999999999825</v>
      </c>
      <c r="M80" s="84">
        <f t="shared" si="102"/>
        <v>41078.36749899978</v>
      </c>
      <c r="N80" s="2"/>
    </row>
    <row r="81" spans="2:14" ht="15">
      <c r="B81" s="33">
        <v>2066</v>
      </c>
      <c r="C81" s="84">
        <f t="shared" si="103"/>
        <v>33.94920000000002</v>
      </c>
      <c r="D81" s="14">
        <f t="shared" si="104"/>
        <v>221186.0662782</v>
      </c>
      <c r="E81" s="5">
        <f t="shared" si="70"/>
        <v>162223.25576919987</v>
      </c>
      <c r="F81" s="10">
        <f t="shared" si="100"/>
        <v>69869.35710488874</v>
      </c>
      <c r="G81" s="8">
        <f t="shared" si="105"/>
        <v>120914.60801820006</v>
      </c>
      <c r="H81" s="5">
        <f t="shared" si="106"/>
        <v>92085.88098120004</v>
      </c>
      <c r="I81" s="9">
        <f t="shared" si="107"/>
        <v>37880.68710600002</v>
      </c>
      <c r="J81" s="135">
        <f t="shared" si="52"/>
        <v>1289.7479999999996</v>
      </c>
      <c r="K81" s="3">
        <f t="shared" si="71"/>
        <v>998.7379999999976</v>
      </c>
      <c r="L81" s="142">
        <f t="shared" si="101"/>
        <v>352.59799999999814</v>
      </c>
      <c r="M81" s="84">
        <f t="shared" si="102"/>
        <v>43692.0330788398</v>
      </c>
      <c r="N81" s="2"/>
    </row>
    <row r="82" spans="2:14" ht="15">
      <c r="B82" s="33">
        <v>2067</v>
      </c>
      <c r="C82" s="84">
        <f t="shared" si="103"/>
        <v>34.34539999999993</v>
      </c>
      <c r="D82" s="14">
        <f t="shared" si="104"/>
        <v>223932.6890808997</v>
      </c>
      <c r="E82" s="5">
        <f t="shared" si="70"/>
        <v>164504.2750453996</v>
      </c>
      <c r="F82" s="10">
        <f t="shared" si="100"/>
        <v>71869.8749225553</v>
      </c>
      <c r="G82" s="8">
        <f t="shared" si="105"/>
        <v>122325.72721089974</v>
      </c>
      <c r="H82" s="5">
        <f t="shared" si="106"/>
        <v>93160.55802939979</v>
      </c>
      <c r="I82" s="9">
        <f t="shared" si="107"/>
        <v>38322.76904699992</v>
      </c>
      <c r="J82" s="135">
        <f t="shared" si="52"/>
        <v>1306.9259999999995</v>
      </c>
      <c r="K82" s="3">
        <f t="shared" si="71"/>
        <v>1015.9159999999974</v>
      </c>
      <c r="L82" s="142">
        <f t="shared" si="101"/>
        <v>369.775999999998</v>
      </c>
      <c r="M82" s="84">
        <f t="shared" si="102"/>
        <v>46355.381900959655</v>
      </c>
      <c r="N82" s="2"/>
    </row>
    <row r="83" spans="2:14" ht="15">
      <c r="B83" s="33">
        <v>2068</v>
      </c>
      <c r="C83" s="84">
        <f t="shared" si="103"/>
        <v>34.74159999999995</v>
      </c>
      <c r="D83" s="14">
        <f t="shared" si="104"/>
        <v>226679.3118835998</v>
      </c>
      <c r="E83" s="5">
        <f t="shared" si="70"/>
        <v>166785.29432159965</v>
      </c>
      <c r="F83" s="10">
        <f t="shared" si="100"/>
        <v>73870.39274022197</v>
      </c>
      <c r="G83" s="8">
        <f t="shared" si="105"/>
        <v>123736.8464035998</v>
      </c>
      <c r="H83" s="5">
        <f t="shared" si="106"/>
        <v>94235.23507759985</v>
      </c>
      <c r="I83" s="9">
        <f t="shared" si="107"/>
        <v>38764.85098799994</v>
      </c>
      <c r="J83" s="135">
        <f t="shared" si="52"/>
        <v>1324.1039999999994</v>
      </c>
      <c r="K83" s="3">
        <f t="shared" si="71"/>
        <v>1033.0939999999973</v>
      </c>
      <c r="L83" s="142">
        <f t="shared" si="101"/>
        <v>386.9539999999979</v>
      </c>
      <c r="M83" s="84">
        <f t="shared" si="102"/>
        <v>49068.413965359665</v>
      </c>
      <c r="N83" s="2"/>
    </row>
    <row r="84" spans="2:14" ht="15">
      <c r="B84" s="33">
        <v>2069</v>
      </c>
      <c r="C84" s="84">
        <f t="shared" si="103"/>
        <v>35.13779999999997</v>
      </c>
      <c r="D84" s="14">
        <f t="shared" si="104"/>
        <v>229425.93468629982</v>
      </c>
      <c r="E84" s="5">
        <f t="shared" si="70"/>
        <v>169066.31359779972</v>
      </c>
      <c r="F84" s="10">
        <f t="shared" si="100"/>
        <v>75870.91055788865</v>
      </c>
      <c r="G84" s="8">
        <f t="shared" si="105"/>
        <v>125147.96559629988</v>
      </c>
      <c r="H84" s="5">
        <f t="shared" si="106"/>
        <v>95309.91212579992</v>
      </c>
      <c r="I84" s="9">
        <f t="shared" si="107"/>
        <v>39206.932928999966</v>
      </c>
      <c r="J84" s="135">
        <f t="shared" si="52"/>
        <v>1341.2819999999992</v>
      </c>
      <c r="K84" s="3">
        <f t="shared" si="71"/>
        <v>1050.2719999999972</v>
      </c>
      <c r="L84" s="142">
        <f t="shared" si="101"/>
        <v>404.1319999999978</v>
      </c>
      <c r="M84" s="84">
        <f t="shared" si="102"/>
        <v>51831.12927203966</v>
      </c>
      <c r="N84" s="2"/>
    </row>
    <row r="85" spans="2:14" ht="15">
      <c r="B85" s="33">
        <v>2070</v>
      </c>
      <c r="C85" s="84">
        <f t="shared" si="103"/>
        <v>35.53399999999999</v>
      </c>
      <c r="D85" s="14">
        <f t="shared" si="104"/>
        <v>232172.5574889999</v>
      </c>
      <c r="E85" s="5">
        <f t="shared" si="70"/>
        <v>171347.33287399978</v>
      </c>
      <c r="F85" s="10">
        <f t="shared" si="100"/>
        <v>77871.42837555533</v>
      </c>
      <c r="G85" s="8">
        <f t="shared" si="105"/>
        <v>126559.08478899997</v>
      </c>
      <c r="H85" s="5">
        <f t="shared" si="106"/>
        <v>96384.58917399996</v>
      </c>
      <c r="I85" s="9">
        <f t="shared" si="107"/>
        <v>39649.01486999999</v>
      </c>
      <c r="J85" s="135">
        <f t="shared" si="52"/>
        <v>1358.4599999999991</v>
      </c>
      <c r="K85" s="3">
        <f t="shared" si="71"/>
        <v>1067.449999999997</v>
      </c>
      <c r="L85" s="142">
        <f t="shared" si="101"/>
        <v>421.3099999999977</v>
      </c>
      <c r="M85" s="84">
        <f t="shared" si="102"/>
        <v>54643.52782099969</v>
      </c>
      <c r="N85" s="2"/>
    </row>
    <row r="86" spans="2:14" ht="15">
      <c r="B86" s="33">
        <v>2071</v>
      </c>
      <c r="C86" s="84">
        <f t="shared" si="103"/>
        <v>35.93020000000001</v>
      </c>
      <c r="D86" s="14">
        <f t="shared" si="104"/>
        <v>234919.18029169997</v>
      </c>
      <c r="E86" s="5">
        <f t="shared" si="70"/>
        <v>173628.35215019982</v>
      </c>
      <c r="F86" s="10">
        <f t="shared" si="100"/>
        <v>79871.94619322201</v>
      </c>
      <c r="G86" s="8">
        <f t="shared" si="105"/>
        <v>127970.20398170003</v>
      </c>
      <c r="H86" s="5">
        <f t="shared" si="106"/>
        <v>97459.26622220002</v>
      </c>
      <c r="I86" s="9">
        <f t="shared" si="107"/>
        <v>40091.09681100002</v>
      </c>
      <c r="J86" s="135">
        <f t="shared" si="52"/>
        <v>1375.637999999999</v>
      </c>
      <c r="K86" s="3">
        <f t="shared" si="71"/>
        <v>1084.627999999997</v>
      </c>
      <c r="L86" s="142">
        <f t="shared" si="101"/>
        <v>438.48799999999756</v>
      </c>
      <c r="M86" s="84">
        <f t="shared" si="102"/>
        <v>57505.6096122397</v>
      </c>
      <c r="N86" s="2"/>
    </row>
    <row r="87" spans="2:14" ht="15">
      <c r="B87" s="33">
        <v>2072</v>
      </c>
      <c r="C87" s="84">
        <f t="shared" si="103"/>
        <v>36.32639999999992</v>
      </c>
      <c r="D87" s="14">
        <f t="shared" si="104"/>
        <v>237665.80309439963</v>
      </c>
      <c r="E87" s="5">
        <f t="shared" si="70"/>
        <v>175909.37142639956</v>
      </c>
      <c r="F87" s="10">
        <f t="shared" si="100"/>
        <v>81872.46401088857</v>
      </c>
      <c r="G87" s="8">
        <f t="shared" si="105"/>
        <v>129381.32317439972</v>
      </c>
      <c r="H87" s="5">
        <f t="shared" si="106"/>
        <v>98533.94327039977</v>
      </c>
      <c r="I87" s="9">
        <f t="shared" si="107"/>
        <v>40533.17875199991</v>
      </c>
      <c r="J87" s="135">
        <f t="shared" si="52"/>
        <v>1392.815999999999</v>
      </c>
      <c r="K87" s="3">
        <f t="shared" si="71"/>
        <v>1101.8059999999969</v>
      </c>
      <c r="L87" s="142">
        <f t="shared" si="101"/>
        <v>455.66599999999744</v>
      </c>
      <c r="M87" s="84">
        <f t="shared" si="102"/>
        <v>60417.374645759526</v>
      </c>
      <c r="N87" s="2"/>
    </row>
    <row r="88" spans="2:14" ht="15">
      <c r="B88" s="33">
        <v>2073</v>
      </c>
      <c r="C88" s="84">
        <f t="shared" si="103"/>
        <v>36.72259999999994</v>
      </c>
      <c r="D88" s="14">
        <f t="shared" si="104"/>
        <v>240412.4258970997</v>
      </c>
      <c r="E88" s="5">
        <f t="shared" si="70"/>
        <v>178190.3907025996</v>
      </c>
      <c r="F88" s="10">
        <f t="shared" si="100"/>
        <v>83872.98182855525</v>
      </c>
      <c r="G88" s="8">
        <f t="shared" si="105"/>
        <v>130792.44236709978</v>
      </c>
      <c r="H88" s="5">
        <f t="shared" si="106"/>
        <v>99608.62031859985</v>
      </c>
      <c r="I88" s="9">
        <f t="shared" si="107"/>
        <v>40975.26069299994</v>
      </c>
      <c r="J88" s="135">
        <f t="shared" si="52"/>
        <v>1409.9939999999988</v>
      </c>
      <c r="K88" s="3">
        <f t="shared" si="71"/>
        <v>1118.9839999999967</v>
      </c>
      <c r="L88" s="142">
        <f t="shared" si="101"/>
        <v>472.8439999999973</v>
      </c>
      <c r="M88" s="84">
        <f t="shared" si="102"/>
        <v>63378.82292155954</v>
      </c>
      <c r="N88" s="2"/>
    </row>
    <row r="89" spans="2:14" ht="15.75" thickBot="1">
      <c r="B89" s="96">
        <v>2074</v>
      </c>
      <c r="C89" s="89">
        <f t="shared" si="103"/>
        <v>37.118799999999965</v>
      </c>
      <c r="D89" s="87">
        <f t="shared" si="104"/>
        <v>243159.0486997998</v>
      </c>
      <c r="E89" s="86">
        <f t="shared" si="70"/>
        <v>180471.40997879967</v>
      </c>
      <c r="F89" s="168">
        <f t="shared" si="100"/>
        <v>85873.49964622193</v>
      </c>
      <c r="G89" s="85">
        <f t="shared" si="105"/>
        <v>132203.56155979988</v>
      </c>
      <c r="H89" s="86">
        <f t="shared" si="106"/>
        <v>100683.2973667999</v>
      </c>
      <c r="I89" s="88">
        <f t="shared" si="107"/>
        <v>41417.34263399996</v>
      </c>
      <c r="J89" s="136">
        <f t="shared" si="52"/>
        <v>1427.1719999999987</v>
      </c>
      <c r="K89" s="76">
        <f t="shared" si="71"/>
        <v>1136.1619999999966</v>
      </c>
      <c r="L89" s="121">
        <f t="shared" si="101"/>
        <v>490.0219999999972</v>
      </c>
      <c r="M89" s="89">
        <f t="shared" si="102"/>
        <v>66389.95443963956</v>
      </c>
      <c r="N89" s="2"/>
    </row>
    <row r="90" ht="13.5" thickBot="1">
      <c r="D90" s="90"/>
    </row>
    <row r="91" spans="2:5" ht="13.5" thickBot="1">
      <c r="B91" s="52" t="s">
        <v>34</v>
      </c>
      <c r="C91" s="54" t="s">
        <v>6</v>
      </c>
      <c r="D91" s="143" t="s">
        <v>13</v>
      </c>
      <c r="E91" s="143" t="s">
        <v>8</v>
      </c>
    </row>
    <row r="92" spans="2:5" ht="26.25" thickBot="1">
      <c r="B92" s="91"/>
      <c r="C92" s="143" t="s">
        <v>31</v>
      </c>
      <c r="D92" s="143" t="s">
        <v>31</v>
      </c>
      <c r="E92" s="143" t="s">
        <v>31</v>
      </c>
    </row>
    <row r="93" spans="2:5" ht="15">
      <c r="B93" s="36">
        <v>2012</v>
      </c>
      <c r="C93" s="126">
        <v>359.015</v>
      </c>
      <c r="D93" s="145" t="s">
        <v>57</v>
      </c>
      <c r="E93" s="146" t="s">
        <v>57</v>
      </c>
    </row>
    <row r="94" spans="2:5" ht="15">
      <c r="B94" s="34">
        <v>2020</v>
      </c>
      <c r="C94" s="135">
        <v>503.23</v>
      </c>
      <c r="D94" s="144">
        <v>208.555</v>
      </c>
      <c r="E94" s="147" t="s">
        <v>57</v>
      </c>
    </row>
    <row r="95" spans="2:5" ht="15.75" thickBot="1">
      <c r="B95" s="35">
        <v>2050</v>
      </c>
      <c r="C95" s="148">
        <v>1013.97</v>
      </c>
      <c r="D95" s="149" t="s">
        <v>57</v>
      </c>
      <c r="E95" s="150">
        <v>77.75</v>
      </c>
    </row>
    <row r="98" spans="2:3" ht="12.75">
      <c r="B98" s="151" t="s">
        <v>58</v>
      </c>
      <c r="C98" s="151" t="s">
        <v>59</v>
      </c>
    </row>
    <row r="99" spans="2:3" ht="12.75">
      <c r="B99" s="151" t="s">
        <v>60</v>
      </c>
      <c r="C99" s="151" t="s">
        <v>61</v>
      </c>
    </row>
    <row r="108" ht="12.75">
      <c r="B108" s="52" t="s">
        <v>73</v>
      </c>
    </row>
    <row r="109" spans="2:43" ht="13.5" thickBot="1">
      <c r="B109" s="51"/>
      <c r="C109" s="67"/>
      <c r="I109" s="51"/>
      <c r="P109" s="50"/>
      <c r="AQ109" s="50"/>
    </row>
    <row r="110" spans="2:43" ht="39" thickBot="1">
      <c r="B110" s="51"/>
      <c r="C110" s="81" t="s">
        <v>30</v>
      </c>
      <c r="D110" s="80" t="s">
        <v>65</v>
      </c>
      <c r="E110" s="80" t="s">
        <v>66</v>
      </c>
      <c r="F110" s="80" t="s">
        <v>67</v>
      </c>
      <c r="G110" s="81" t="s">
        <v>72</v>
      </c>
      <c r="H110" s="81" t="s">
        <v>71</v>
      </c>
      <c r="I110" s="81" t="s">
        <v>70</v>
      </c>
      <c r="P110" s="50"/>
      <c r="AQ110" s="50"/>
    </row>
    <row r="111" spans="2:43" ht="15">
      <c r="B111" s="32">
        <v>2012</v>
      </c>
      <c r="C111" s="126">
        <f aca="true" t="shared" si="108" ref="C111:C119">0.4*B111-792</f>
        <v>12.800000000000068</v>
      </c>
      <c r="D111" s="82">
        <f>IF(-15.73*B111+32287&gt;0,-15.73*B111+32287,0)</f>
        <v>638.239999999998</v>
      </c>
      <c r="E111" s="158"/>
      <c r="F111" s="159"/>
      <c r="G111" s="157">
        <f aca="true" t="shared" si="109" ref="G111:G142">D111*365*C111/100</f>
        <v>29818.572800000064</v>
      </c>
      <c r="H111" s="158"/>
      <c r="I111" s="159"/>
      <c r="P111" s="50"/>
      <c r="AQ111" s="50"/>
    </row>
    <row r="112" spans="2:43" ht="15">
      <c r="B112" s="33">
        <f>B111+1</f>
        <v>2013</v>
      </c>
      <c r="C112" s="127">
        <f t="shared" si="108"/>
        <v>13.200000000000045</v>
      </c>
      <c r="D112" s="8">
        <f aca="true" t="shared" si="110" ref="D112:D173">IF(-15.73*B112+32287&gt;0,-15.73*B112+32287,0)</f>
        <v>622.5099999999984</v>
      </c>
      <c r="E112" s="160"/>
      <c r="F112" s="161"/>
      <c r="G112" s="101">
        <f t="shared" si="109"/>
        <v>29992.531800000026</v>
      </c>
      <c r="H112" s="160"/>
      <c r="I112" s="161"/>
      <c r="P112" s="50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0"/>
    </row>
    <row r="113" spans="2:43" ht="15">
      <c r="B113" s="33">
        <f aca="true" t="shared" si="111" ref="B113:B135">B112+1</f>
        <v>2014</v>
      </c>
      <c r="C113" s="127">
        <f t="shared" si="108"/>
        <v>13.600000000000023</v>
      </c>
      <c r="D113" s="8">
        <f t="shared" si="110"/>
        <v>606.7799999999988</v>
      </c>
      <c r="E113" s="160"/>
      <c r="F113" s="161"/>
      <c r="G113" s="101">
        <f t="shared" si="109"/>
        <v>30120.559199999996</v>
      </c>
      <c r="H113" s="160"/>
      <c r="I113" s="161"/>
      <c r="P113" s="50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0"/>
    </row>
    <row r="114" spans="2:43" ht="15">
      <c r="B114" s="33">
        <f t="shared" si="111"/>
        <v>2015</v>
      </c>
      <c r="C114" s="127">
        <f t="shared" si="108"/>
        <v>14</v>
      </c>
      <c r="D114" s="8">
        <f t="shared" si="110"/>
        <v>591.0499999999993</v>
      </c>
      <c r="E114" s="160"/>
      <c r="F114" s="161"/>
      <c r="G114" s="101">
        <f t="shared" si="109"/>
        <v>30202.654999999962</v>
      </c>
      <c r="H114" s="160"/>
      <c r="I114" s="161"/>
      <c r="P114" s="50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0"/>
    </row>
    <row r="115" spans="2:43" ht="15">
      <c r="B115" s="33">
        <f t="shared" si="111"/>
        <v>2016</v>
      </c>
      <c r="C115" s="127">
        <f t="shared" si="108"/>
        <v>14.400000000000091</v>
      </c>
      <c r="D115" s="8">
        <f t="shared" si="110"/>
        <v>575.3199999999997</v>
      </c>
      <c r="E115" s="160"/>
      <c r="F115" s="161"/>
      <c r="G115" s="101">
        <f t="shared" si="109"/>
        <v>30238.819200000176</v>
      </c>
      <c r="H115" s="160"/>
      <c r="I115" s="161"/>
      <c r="P115" s="50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0"/>
    </row>
    <row r="116" spans="2:43" ht="15">
      <c r="B116" s="33">
        <f t="shared" si="111"/>
        <v>2017</v>
      </c>
      <c r="C116" s="127">
        <f t="shared" si="108"/>
        <v>14.800000000000068</v>
      </c>
      <c r="D116" s="8">
        <f t="shared" si="110"/>
        <v>559.5900000000001</v>
      </c>
      <c r="E116" s="160"/>
      <c r="F116" s="161"/>
      <c r="G116" s="101">
        <f t="shared" si="109"/>
        <v>30229.05180000015</v>
      </c>
      <c r="H116" s="160"/>
      <c r="I116" s="161"/>
      <c r="P116" s="50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0"/>
    </row>
    <row r="117" spans="2:43" ht="15">
      <c r="B117" s="33">
        <f t="shared" si="111"/>
        <v>2018</v>
      </c>
      <c r="C117" s="127">
        <f t="shared" si="108"/>
        <v>15.200000000000045</v>
      </c>
      <c r="D117" s="8">
        <f t="shared" si="110"/>
        <v>543.8600000000006</v>
      </c>
      <c r="E117" s="160"/>
      <c r="F117" s="161"/>
      <c r="G117" s="101">
        <f t="shared" si="109"/>
        <v>30173.35280000012</v>
      </c>
      <c r="H117" s="160"/>
      <c r="I117" s="161"/>
      <c r="P117" s="50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0"/>
    </row>
    <row r="118" spans="2:43" ht="15">
      <c r="B118" s="33">
        <f t="shared" si="111"/>
        <v>2019</v>
      </c>
      <c r="C118" s="127">
        <f t="shared" si="108"/>
        <v>15.600000000000023</v>
      </c>
      <c r="D118" s="8">
        <f t="shared" si="110"/>
        <v>528.1299999999974</v>
      </c>
      <c r="E118" s="160"/>
      <c r="F118" s="161"/>
      <c r="G118" s="101">
        <f t="shared" si="109"/>
        <v>30071.722199999895</v>
      </c>
      <c r="H118" s="160"/>
      <c r="I118" s="161"/>
      <c r="P118" s="50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0"/>
    </row>
    <row r="119" spans="2:43" ht="15">
      <c r="B119" s="33">
        <f t="shared" si="111"/>
        <v>2020</v>
      </c>
      <c r="C119" s="127">
        <f t="shared" si="108"/>
        <v>16</v>
      </c>
      <c r="D119" s="8">
        <f t="shared" si="110"/>
        <v>512.3999999999978</v>
      </c>
      <c r="E119" s="144">
        <f>IF(-15.73*B119+32341.28&gt;0,-15.73*B119+32341.28,0)</f>
        <v>566.6799999999967</v>
      </c>
      <c r="F119" s="161"/>
      <c r="G119" s="101">
        <f t="shared" si="109"/>
        <v>29924.159999999873</v>
      </c>
      <c r="H119" s="101">
        <f>E119*365*C119/100</f>
        <v>33094.111999999805</v>
      </c>
      <c r="I119" s="161"/>
      <c r="P119" s="50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0"/>
    </row>
    <row r="120" spans="2:43" ht="15">
      <c r="B120" s="33">
        <f t="shared" si="111"/>
        <v>2021</v>
      </c>
      <c r="C120" s="128">
        <v>16.047349058570944</v>
      </c>
      <c r="D120" s="8">
        <f t="shared" si="110"/>
        <v>496.66999999999825</v>
      </c>
      <c r="E120" s="144">
        <f aca="true" t="shared" si="112" ref="E120:E173">IF(-15.73*B120+32341.28&gt;0,-15.73*B120+32341.28,0)</f>
        <v>550.9499999999971</v>
      </c>
      <c r="F120" s="161"/>
      <c r="G120" s="101">
        <f t="shared" si="109"/>
        <v>29091.36452775947</v>
      </c>
      <c r="H120" s="101">
        <f aca="true" t="shared" si="113" ref="H120:H173">E120*365*C120/100</f>
        <v>32270.697417941596</v>
      </c>
      <c r="I120" s="161"/>
      <c r="P120" s="50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0"/>
    </row>
    <row r="121" spans="2:43" ht="15">
      <c r="B121" s="33">
        <f t="shared" si="111"/>
        <v>2022</v>
      </c>
      <c r="C121" s="128">
        <v>16.446260227318817</v>
      </c>
      <c r="D121" s="8">
        <f t="shared" si="110"/>
        <v>480.9399999999987</v>
      </c>
      <c r="E121" s="144">
        <f t="shared" si="112"/>
        <v>535.2199999999975</v>
      </c>
      <c r="F121" s="161"/>
      <c r="G121" s="101">
        <f t="shared" si="109"/>
        <v>28870.275037102416</v>
      </c>
      <c r="H121" s="101">
        <f t="shared" si="113"/>
        <v>32128.64100585921</v>
      </c>
      <c r="I121" s="161"/>
      <c r="P121" s="50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0"/>
    </row>
    <row r="122" spans="2:43" ht="15">
      <c r="B122" s="33">
        <f t="shared" si="111"/>
        <v>2023</v>
      </c>
      <c r="C122" s="128">
        <v>16.844974061816174</v>
      </c>
      <c r="D122" s="8">
        <f t="shared" si="110"/>
        <v>465.2099999999991</v>
      </c>
      <c r="E122" s="144">
        <f t="shared" si="112"/>
        <v>519.489999999998</v>
      </c>
      <c r="F122" s="161"/>
      <c r="G122" s="101">
        <f t="shared" si="109"/>
        <v>28603.043899035827</v>
      </c>
      <c r="H122" s="101">
        <f t="shared" si="113"/>
        <v>31940.4038501109</v>
      </c>
      <c r="I122" s="161"/>
      <c r="P122" s="50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0"/>
    </row>
    <row r="123" spans="2:43" ht="15">
      <c r="B123" s="33">
        <f t="shared" si="111"/>
        <v>2024</v>
      </c>
      <c r="C123" s="128">
        <v>17.24349075720329</v>
      </c>
      <c r="D123" s="8">
        <f t="shared" si="110"/>
        <v>449.47999999999956</v>
      </c>
      <c r="E123" s="144">
        <f t="shared" si="112"/>
        <v>503.7599999999984</v>
      </c>
      <c r="F123" s="161"/>
      <c r="G123" s="101">
        <f t="shared" si="109"/>
        <v>28289.7054232492</v>
      </c>
      <c r="H123" s="101">
        <f t="shared" si="113"/>
        <v>31706.020299047763</v>
      </c>
      <c r="I123" s="161"/>
      <c r="P123" s="50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0"/>
    </row>
    <row r="124" spans="2:43" ht="15">
      <c r="B124" s="33">
        <f t="shared" si="111"/>
        <v>2025</v>
      </c>
      <c r="C124" s="128">
        <v>17.6418105083294</v>
      </c>
      <c r="D124" s="8">
        <f t="shared" si="110"/>
        <v>433.75</v>
      </c>
      <c r="E124" s="144">
        <f t="shared" si="112"/>
        <v>488.02999999999884</v>
      </c>
      <c r="F124" s="161"/>
      <c r="G124" s="101">
        <f t="shared" si="109"/>
        <v>27930.293874155752</v>
      </c>
      <c r="H124" s="101">
        <f t="shared" si="113"/>
        <v>31425.524655686913</v>
      </c>
      <c r="I124" s="161"/>
      <c r="P124" s="50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0"/>
    </row>
    <row r="125" spans="2:43" ht="15">
      <c r="B125" s="33">
        <f t="shared" si="111"/>
        <v>2026</v>
      </c>
      <c r="C125" s="128">
        <v>18.03993350975543</v>
      </c>
      <c r="D125" s="8">
        <f t="shared" si="110"/>
        <v>418.02000000000044</v>
      </c>
      <c r="E125" s="144">
        <f t="shared" si="112"/>
        <v>472.2999999999993</v>
      </c>
      <c r="F125" s="161"/>
      <c r="G125" s="101">
        <f t="shared" si="109"/>
        <v>27524.843470980097</v>
      </c>
      <c r="H125" s="101">
        <f t="shared" si="113"/>
        <v>31098.951177799787</v>
      </c>
      <c r="I125" s="161"/>
      <c r="P125" s="50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0"/>
    </row>
    <row r="126" spans="2:43" ht="15">
      <c r="B126" s="33">
        <f t="shared" si="111"/>
        <v>2027</v>
      </c>
      <c r="C126" s="128">
        <v>18.437859955754902</v>
      </c>
      <c r="D126" s="8">
        <f t="shared" si="110"/>
        <v>402.2900000000009</v>
      </c>
      <c r="E126" s="144">
        <f t="shared" si="112"/>
        <v>456.5699999999997</v>
      </c>
      <c r="F126" s="161"/>
      <c r="G126" s="101">
        <f t="shared" si="109"/>
        <v>27073.38838784239</v>
      </c>
      <c r="H126" s="101">
        <f t="shared" si="113"/>
        <v>30726.334077996387</v>
      </c>
      <c r="I126" s="161"/>
      <c r="P126" s="50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0"/>
    </row>
    <row r="127" spans="2:43" ht="15">
      <c r="B127" s="33">
        <f t="shared" si="111"/>
        <v>2028</v>
      </c>
      <c r="C127" s="128">
        <v>18.835590040312127</v>
      </c>
      <c r="D127" s="8">
        <f t="shared" si="110"/>
        <v>386.5599999999977</v>
      </c>
      <c r="E127" s="144">
        <f t="shared" si="112"/>
        <v>440.8399999999965</v>
      </c>
      <c r="F127" s="161"/>
      <c r="G127" s="101">
        <f t="shared" si="109"/>
        <v>26575.962753837994</v>
      </c>
      <c r="H127" s="101">
        <f t="shared" si="113"/>
        <v>30307.707523804635</v>
      </c>
      <c r="I127" s="161"/>
      <c r="P127" s="50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0"/>
    </row>
    <row r="128" spans="2:43" ht="15">
      <c r="B128" s="33">
        <f t="shared" si="111"/>
        <v>2029</v>
      </c>
      <c r="C128" s="128">
        <v>19.233123957124917</v>
      </c>
      <c r="D128" s="8">
        <f t="shared" si="110"/>
        <v>370.8299999999981</v>
      </c>
      <c r="E128" s="144">
        <f t="shared" si="112"/>
        <v>425.10999999999694</v>
      </c>
      <c r="F128" s="161"/>
      <c r="G128" s="101">
        <f t="shared" si="109"/>
        <v>26032.600653125177</v>
      </c>
      <c r="H128" s="101">
        <f t="shared" si="113"/>
        <v>29843.1056377586</v>
      </c>
      <c r="I128" s="161"/>
      <c r="P128" s="50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0"/>
    </row>
    <row r="129" spans="2:43" ht="15">
      <c r="B129" s="33">
        <f t="shared" si="111"/>
        <v>2030</v>
      </c>
      <c r="C129" s="128">
        <v>19.630461899606416</v>
      </c>
      <c r="D129" s="8">
        <f t="shared" si="110"/>
        <v>355.09999999999854</v>
      </c>
      <c r="E129" s="144">
        <f t="shared" si="112"/>
        <v>409.3799999999974</v>
      </c>
      <c r="F129" s="161"/>
      <c r="G129" s="101">
        <f t="shared" si="109"/>
        <v>25443.336125008267</v>
      </c>
      <c r="H129" s="101">
        <f t="shared" si="113"/>
        <v>29332.562497482006</v>
      </c>
      <c r="I129" s="161"/>
      <c r="P129" s="50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0"/>
    </row>
    <row r="130" spans="2:43" ht="15">
      <c r="B130" s="33">
        <f t="shared" si="111"/>
        <v>2031</v>
      </c>
      <c r="C130" s="128">
        <v>20.02760406088146</v>
      </c>
      <c r="D130" s="8">
        <f t="shared" si="110"/>
        <v>339.369999999999</v>
      </c>
      <c r="E130" s="144">
        <f t="shared" si="112"/>
        <v>393.6499999999978</v>
      </c>
      <c r="F130" s="161"/>
      <c r="G130" s="101">
        <f t="shared" si="109"/>
        <v>24808.203164015817</v>
      </c>
      <c r="H130" s="101">
        <f t="shared" si="113"/>
        <v>28776.112135765692</v>
      </c>
      <c r="I130" s="161"/>
      <c r="P130" s="50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0"/>
    </row>
    <row r="131" spans="2:43" ht="15">
      <c r="B131" s="33">
        <f t="shared" si="111"/>
        <v>2032</v>
      </c>
      <c r="C131" s="128">
        <v>20.424550633790204</v>
      </c>
      <c r="D131" s="8">
        <f t="shared" si="110"/>
        <v>323.6399999999994</v>
      </c>
      <c r="E131" s="144">
        <f t="shared" si="112"/>
        <v>377.91999999999825</v>
      </c>
      <c r="F131" s="161"/>
      <c r="G131" s="101">
        <f t="shared" si="109"/>
        <v>24127.235719987453</v>
      </c>
      <c r="H131" s="101">
        <f t="shared" si="113"/>
        <v>28173.788540655147</v>
      </c>
      <c r="I131" s="161"/>
      <c r="P131" s="50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0"/>
    </row>
    <row r="132" spans="2:43" ht="15">
      <c r="B132" s="33">
        <f t="shared" si="111"/>
        <v>2033</v>
      </c>
      <c r="C132" s="128">
        <v>20.821301810888144</v>
      </c>
      <c r="D132" s="8">
        <f t="shared" si="110"/>
        <v>307.90999999999985</v>
      </c>
      <c r="E132" s="144">
        <f t="shared" si="112"/>
        <v>362.1899999999987</v>
      </c>
      <c r="F132" s="161"/>
      <c r="G132" s="101">
        <f t="shared" si="109"/>
        <v>23400.467698155564</v>
      </c>
      <c r="H132" s="101">
        <f t="shared" si="113"/>
        <v>27525.625655532254</v>
      </c>
      <c r="I132" s="161"/>
      <c r="P132" s="50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0"/>
    </row>
    <row r="133" spans="2:43" ht="15">
      <c r="B133" s="33">
        <f t="shared" si="111"/>
        <v>2034</v>
      </c>
      <c r="C133" s="128">
        <v>21.217857784447006</v>
      </c>
      <c r="D133" s="8">
        <f t="shared" si="110"/>
        <v>292.1800000000003</v>
      </c>
      <c r="E133" s="144">
        <f t="shared" si="112"/>
        <v>346.4599999999991</v>
      </c>
      <c r="F133" s="161"/>
      <c r="G133" s="101">
        <f t="shared" si="109"/>
        <v>22627.932959228023</v>
      </c>
      <c r="H133" s="101">
        <f t="shared" si="113"/>
        <v>26831.65737919814</v>
      </c>
      <c r="I133" s="161"/>
      <c r="P133" s="50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0"/>
    </row>
    <row r="134" spans="2:43" ht="15">
      <c r="B134" s="33">
        <f t="shared" si="111"/>
        <v>2035</v>
      </c>
      <c r="C134" s="128">
        <v>21.614218746454753</v>
      </c>
      <c r="D134" s="8">
        <f t="shared" si="110"/>
        <v>276.4500000000007</v>
      </c>
      <c r="E134" s="144">
        <f t="shared" si="112"/>
        <v>330.72999999999956</v>
      </c>
      <c r="F134" s="161"/>
      <c r="G134" s="101">
        <f t="shared" si="109"/>
        <v>21809.665319469626</v>
      </c>
      <c r="H134" s="101">
        <f t="shared" si="113"/>
        <v>26091.917565954645</v>
      </c>
      <c r="I134" s="161"/>
      <c r="P134" s="50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0"/>
    </row>
    <row r="135" spans="2:43" ht="15">
      <c r="B135" s="33">
        <f t="shared" si="111"/>
        <v>2036</v>
      </c>
      <c r="C135" s="128">
        <v>22.0103848886165</v>
      </c>
      <c r="D135" s="8">
        <f t="shared" si="110"/>
        <v>260.7199999999975</v>
      </c>
      <c r="E135" s="144">
        <f t="shared" si="112"/>
        <v>314.99999999999636</v>
      </c>
      <c r="F135" s="161"/>
      <c r="G135" s="101">
        <f t="shared" si="109"/>
        <v>20945.698550784145</v>
      </c>
      <c r="H135" s="101">
        <f t="shared" si="113"/>
        <v>25306.44002568653</v>
      </c>
      <c r="I135" s="161"/>
      <c r="P135" s="50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0"/>
    </row>
    <row r="136" spans="2:43" ht="15">
      <c r="B136" s="33">
        <f>B135+1</f>
        <v>2037</v>
      </c>
      <c r="C136" s="128">
        <v>22.406356402352685</v>
      </c>
      <c r="D136" s="8">
        <f t="shared" si="110"/>
        <v>244.98999999999796</v>
      </c>
      <c r="E136" s="144">
        <f t="shared" si="112"/>
        <v>299.2699999999968</v>
      </c>
      <c r="F136" s="161"/>
      <c r="G136" s="101">
        <f t="shared" si="109"/>
        <v>20036.066380795037</v>
      </c>
      <c r="H136" s="101">
        <f t="shared" si="113"/>
        <v>24475.25852394186</v>
      </c>
      <c r="I136" s="161"/>
      <c r="P136" s="50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0"/>
    </row>
    <row r="137" spans="2:43" ht="15">
      <c r="B137" s="33">
        <f aca="true" t="shared" si="114" ref="B137:B147">B136+1</f>
        <v>2038</v>
      </c>
      <c r="C137" s="128">
        <v>22.802133478804535</v>
      </c>
      <c r="D137" s="8">
        <f t="shared" si="110"/>
        <v>229.2599999999984</v>
      </c>
      <c r="E137" s="144">
        <f t="shared" si="112"/>
        <v>283.53999999999724</v>
      </c>
      <c r="F137" s="161"/>
      <c r="G137" s="101">
        <f t="shared" si="109"/>
        <v>19080.802492930023</v>
      </c>
      <c r="H137" s="101">
        <f t="shared" si="113"/>
        <v>23598.40678201764</v>
      </c>
      <c r="I137" s="161"/>
      <c r="P137" s="50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0"/>
    </row>
    <row r="138" spans="2:43" ht="15">
      <c r="B138" s="33">
        <f t="shared" si="114"/>
        <v>2039</v>
      </c>
      <c r="C138" s="128">
        <v>23.19771630883224</v>
      </c>
      <c r="D138" s="8">
        <f t="shared" si="110"/>
        <v>213.52999999999884</v>
      </c>
      <c r="E138" s="144">
        <f t="shared" si="112"/>
        <v>267.8099999999977</v>
      </c>
      <c r="F138" s="161"/>
      <c r="G138" s="101">
        <f t="shared" si="109"/>
        <v>18079.940526500963</v>
      </c>
      <c r="H138" s="101">
        <f t="shared" si="113"/>
        <v>22675.91847703933</v>
      </c>
      <c r="I138" s="161"/>
      <c r="P138" s="50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0"/>
    </row>
    <row r="139" spans="2:43" ht="15">
      <c r="B139" s="33">
        <f t="shared" si="114"/>
        <v>2040</v>
      </c>
      <c r="C139" s="128">
        <v>23.593105083010414</v>
      </c>
      <c r="D139" s="8">
        <f t="shared" si="110"/>
        <v>197.79999999999927</v>
      </c>
      <c r="E139" s="144">
        <f t="shared" si="112"/>
        <v>252.0799999999981</v>
      </c>
      <c r="F139" s="161"/>
      <c r="G139" s="101">
        <f t="shared" si="109"/>
        <v>17033.514076780968</v>
      </c>
      <c r="H139" s="101">
        <f t="shared" si="113"/>
        <v>21707.82724203706</v>
      </c>
      <c r="I139" s="161"/>
      <c r="P139" s="50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0"/>
    </row>
    <row r="140" spans="2:43" ht="15">
      <c r="B140" s="33">
        <f t="shared" si="114"/>
        <v>2041</v>
      </c>
      <c r="C140" s="128">
        <v>23.988299991638996</v>
      </c>
      <c r="D140" s="8">
        <f t="shared" si="110"/>
        <v>182.0699999999997</v>
      </c>
      <c r="E140" s="144">
        <f t="shared" si="112"/>
        <v>236.34999999999854</v>
      </c>
      <c r="F140" s="161"/>
      <c r="G140" s="101">
        <f t="shared" si="109"/>
        <v>15941.556695093625</v>
      </c>
      <c r="H140" s="101">
        <f t="shared" si="113"/>
        <v>20694.166666037025</v>
      </c>
      <c r="I140" s="161"/>
      <c r="P140" s="50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0"/>
    </row>
    <row r="141" spans="2:43" ht="15">
      <c r="B141" s="33">
        <f t="shared" si="114"/>
        <v>2042</v>
      </c>
      <c r="C141" s="128">
        <v>24.383301224735078</v>
      </c>
      <c r="D141" s="8">
        <f t="shared" si="110"/>
        <v>166.34000000000015</v>
      </c>
      <c r="E141" s="144">
        <f t="shared" si="112"/>
        <v>220.61999999999898</v>
      </c>
      <c r="F141" s="161"/>
      <c r="G141" s="101">
        <f t="shared" si="109"/>
        <v>14804.101888886893</v>
      </c>
      <c r="H141" s="101">
        <f t="shared" si="113"/>
        <v>19634.97029413375</v>
      </c>
      <c r="I141" s="161"/>
      <c r="P141" s="50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0"/>
    </row>
    <row r="142" spans="2:43" ht="15">
      <c r="B142" s="33">
        <f t="shared" si="114"/>
        <v>2043</v>
      </c>
      <c r="C142" s="128">
        <v>24.778108972035625</v>
      </c>
      <c r="D142" s="8">
        <f t="shared" si="110"/>
        <v>150.61000000000058</v>
      </c>
      <c r="E142" s="144">
        <f t="shared" si="112"/>
        <v>204.88999999999942</v>
      </c>
      <c r="F142" s="161"/>
      <c r="G142" s="101">
        <f t="shared" si="109"/>
        <v>13621.183121815795</v>
      </c>
      <c r="H142" s="101">
        <f t="shared" si="113"/>
        <v>18530.271627573333</v>
      </c>
      <c r="I142" s="161"/>
      <c r="P142" s="50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0"/>
    </row>
    <row r="143" spans="2:43" ht="15">
      <c r="B143" s="33">
        <f t="shared" si="114"/>
        <v>2044</v>
      </c>
      <c r="C143" s="128">
        <v>25.172723423002935</v>
      </c>
      <c r="D143" s="8">
        <f t="shared" si="110"/>
        <v>134.87999999999738</v>
      </c>
      <c r="E143" s="144">
        <f t="shared" si="112"/>
        <v>189.15999999999622</v>
      </c>
      <c r="F143" s="161"/>
      <c r="G143" s="101">
        <f aca="true" t="shared" si="115" ref="G143:G173">D143*365*C143/100</f>
        <v>12392.83381382518</v>
      </c>
      <c r="H143" s="101">
        <f t="shared" si="113"/>
        <v>17380.104123837264</v>
      </c>
      <c r="I143" s="161"/>
      <c r="P143" s="50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0"/>
    </row>
    <row r="144" spans="2:43" ht="15">
      <c r="B144" s="33">
        <f t="shared" si="114"/>
        <v>2045</v>
      </c>
      <c r="C144" s="128">
        <v>25.567144766817364</v>
      </c>
      <c r="D144" s="8">
        <f t="shared" si="110"/>
        <v>119.14999999999782</v>
      </c>
      <c r="E144" s="144">
        <f t="shared" si="112"/>
        <v>173.42999999999665</v>
      </c>
      <c r="F144" s="161"/>
      <c r="G144" s="101">
        <f t="shared" si="115"/>
        <v>11119.087341226748</v>
      </c>
      <c r="H144" s="101">
        <f t="shared" si="113"/>
        <v>16184.501196718033</v>
      </c>
      <c r="I144" s="161"/>
      <c r="P144" s="50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0"/>
    </row>
    <row r="145" spans="2:43" ht="15">
      <c r="B145" s="33">
        <f t="shared" si="114"/>
        <v>2046</v>
      </c>
      <c r="C145" s="128">
        <v>25.96137319238278</v>
      </c>
      <c r="D145" s="8">
        <f t="shared" si="110"/>
        <v>103.41999999999825</v>
      </c>
      <c r="E145" s="144">
        <f t="shared" si="112"/>
        <v>157.6999999999971</v>
      </c>
      <c r="F145" s="161"/>
      <c r="G145" s="101">
        <f t="shared" si="115"/>
        <v>9799.977036780063</v>
      </c>
      <c r="H145" s="101">
        <f t="shared" si="113"/>
        <v>14943.496216401214</v>
      </c>
      <c r="I145" s="161"/>
      <c r="P145" s="50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0"/>
    </row>
    <row r="146" spans="2:43" ht="15">
      <c r="B146" s="33">
        <f t="shared" si="114"/>
        <v>2047</v>
      </c>
      <c r="C146" s="128">
        <v>26.355408888326565</v>
      </c>
      <c r="D146" s="8">
        <f t="shared" si="110"/>
        <v>87.68999999999869</v>
      </c>
      <c r="E146" s="144">
        <f t="shared" si="112"/>
        <v>141.96999999999753</v>
      </c>
      <c r="F146" s="161"/>
      <c r="G146" s="101">
        <f t="shared" si="115"/>
        <v>8435.536189773225</v>
      </c>
      <c r="H146" s="101">
        <f t="shared" si="113"/>
        <v>13657.122509546149</v>
      </c>
      <c r="I146" s="161"/>
      <c r="P146" s="50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0"/>
    </row>
    <row r="147" spans="2:43" ht="15">
      <c r="B147" s="33">
        <f t="shared" si="114"/>
        <v>2048</v>
      </c>
      <c r="C147" s="128">
        <v>26.749252042998705</v>
      </c>
      <c r="D147" s="8">
        <f t="shared" si="110"/>
        <v>71.95999999999913</v>
      </c>
      <c r="E147" s="144">
        <f t="shared" si="112"/>
        <v>126.23999999999796</v>
      </c>
      <c r="F147" s="161"/>
      <c r="G147" s="101">
        <f t="shared" si="115"/>
        <v>7025.798046101697</v>
      </c>
      <c r="H147" s="101">
        <f t="shared" si="113"/>
        <v>12325.413359364571</v>
      </c>
      <c r="I147" s="161"/>
      <c r="P147" s="50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0"/>
    </row>
    <row r="148" spans="2:43" ht="15">
      <c r="B148" s="33">
        <f>B147+1</f>
        <v>2049</v>
      </c>
      <c r="C148" s="128">
        <v>27.14290284447543</v>
      </c>
      <c r="D148" s="8">
        <f t="shared" si="110"/>
        <v>56.22999999999956</v>
      </c>
      <c r="E148" s="144">
        <f t="shared" si="112"/>
        <v>110.5099999999984</v>
      </c>
      <c r="F148" s="161"/>
      <c r="G148" s="101">
        <f t="shared" si="115"/>
        <v>5570.795808348672</v>
      </c>
      <c r="H148" s="101">
        <f t="shared" si="113"/>
        <v>10948.402005701717</v>
      </c>
      <c r="I148" s="161"/>
      <c r="P148" s="50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0"/>
    </row>
    <row r="149" spans="2:43" ht="15">
      <c r="B149" s="33">
        <f aca="true" t="shared" si="116" ref="B149:B159">B148+1</f>
        <v>2050</v>
      </c>
      <c r="C149" s="137">
        <v>27.53636148055375</v>
      </c>
      <c r="D149" s="8">
        <f t="shared" si="110"/>
        <v>40.5</v>
      </c>
      <c r="E149" s="144">
        <f t="shared" si="112"/>
        <v>94.77999999999884</v>
      </c>
      <c r="F149" s="147">
        <f>IF(-15.73*B149+32403.85&gt;0,-15.73*B149+32403.85,0)</f>
        <v>157.34999999999854</v>
      </c>
      <c r="G149" s="101">
        <f t="shared" si="115"/>
        <v>4070.5626358628583</v>
      </c>
      <c r="H149" s="101">
        <f t="shared" si="113"/>
        <v>9526.121645113011</v>
      </c>
      <c r="I149" s="101">
        <f>F149*365*C149/100</f>
        <v>15814.889648222588</v>
      </c>
      <c r="P149" s="50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0"/>
    </row>
    <row r="150" spans="2:43" ht="15">
      <c r="B150" s="33">
        <f t="shared" si="116"/>
        <v>2051</v>
      </c>
      <c r="C150" s="135">
        <f>0.3962*B150-784.6</f>
        <v>28.00619999999992</v>
      </c>
      <c r="D150" s="8">
        <f t="shared" si="110"/>
        <v>24.770000000000437</v>
      </c>
      <c r="E150" s="144">
        <f t="shared" si="112"/>
        <v>79.04999999999927</v>
      </c>
      <c r="F150" s="147">
        <f aca="true" t="shared" si="117" ref="F150:F173">IF(-15.73*B150+32403.85&gt;0,-15.73*B150+32403.85,0)</f>
        <v>141.61999999999898</v>
      </c>
      <c r="G150" s="101">
        <f t="shared" si="115"/>
        <v>2532.0545451000376</v>
      </c>
      <c r="H150" s="101">
        <f t="shared" si="113"/>
        <v>8080.6989014999035</v>
      </c>
      <c r="I150" s="101">
        <f aca="true" t="shared" si="118" ref="I150:I173">F150*365*C150/100</f>
        <v>14476.768860599856</v>
      </c>
      <c r="P150" s="50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0"/>
    </row>
    <row r="151" spans="2:43" ht="15">
      <c r="B151" s="33">
        <f t="shared" si="116"/>
        <v>2052</v>
      </c>
      <c r="C151" s="135">
        <f aca="true" t="shared" si="119" ref="C151:C173">0.3962*B151-784.6</f>
        <v>28.402399999999943</v>
      </c>
      <c r="D151" s="8">
        <f t="shared" si="110"/>
        <v>9.040000000000873</v>
      </c>
      <c r="E151" s="144">
        <f t="shared" si="112"/>
        <v>63.31999999999971</v>
      </c>
      <c r="F151" s="147">
        <f t="shared" si="117"/>
        <v>125.88999999999942</v>
      </c>
      <c r="G151" s="101">
        <f t="shared" si="115"/>
        <v>937.1655904000887</v>
      </c>
      <c r="H151" s="101">
        <f t="shared" si="113"/>
        <v>6564.305883199957</v>
      </c>
      <c r="I151" s="101">
        <f t="shared" si="118"/>
        <v>13050.860196399915</v>
      </c>
      <c r="P151" s="50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0"/>
    </row>
    <row r="152" spans="2:43" ht="15">
      <c r="B152" s="33">
        <f t="shared" si="116"/>
        <v>2053</v>
      </c>
      <c r="C152" s="135">
        <f t="shared" si="119"/>
        <v>28.798599999999965</v>
      </c>
      <c r="D152" s="164">
        <f t="shared" si="110"/>
        <v>0</v>
      </c>
      <c r="E152" s="144">
        <f t="shared" si="112"/>
        <v>47.58999999999651</v>
      </c>
      <c r="F152" s="147">
        <f t="shared" si="117"/>
        <v>110.15999999999622</v>
      </c>
      <c r="G152" s="162">
        <f t="shared" si="115"/>
        <v>0</v>
      </c>
      <c r="H152" s="101">
        <f t="shared" si="113"/>
        <v>5002.417615099626</v>
      </c>
      <c r="I152" s="101">
        <f t="shared" si="118"/>
        <v>11579.456282399588</v>
      </c>
      <c r="P152" s="50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0"/>
    </row>
    <row r="153" spans="2:43" ht="15">
      <c r="B153" s="33">
        <f t="shared" si="116"/>
        <v>2054</v>
      </c>
      <c r="C153" s="135">
        <f t="shared" si="119"/>
        <v>29.194799999999987</v>
      </c>
      <c r="D153" s="164">
        <f t="shared" si="110"/>
        <v>0</v>
      </c>
      <c r="E153" s="144">
        <f t="shared" si="112"/>
        <v>31.859999999996944</v>
      </c>
      <c r="F153" s="147">
        <f t="shared" si="117"/>
        <v>94.42999999999665</v>
      </c>
      <c r="G153" s="162">
        <f t="shared" si="115"/>
        <v>0</v>
      </c>
      <c r="H153" s="101">
        <f t="shared" si="113"/>
        <v>3395.034097199673</v>
      </c>
      <c r="I153" s="101">
        <f t="shared" si="118"/>
        <v>10062.557118599638</v>
      </c>
      <c r="P153" s="50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0"/>
    </row>
    <row r="154" spans="2:43" ht="15">
      <c r="B154" s="33">
        <f t="shared" si="116"/>
        <v>2055</v>
      </c>
      <c r="C154" s="135">
        <f t="shared" si="119"/>
        <v>29.591000000000008</v>
      </c>
      <c r="D154" s="164">
        <f t="shared" si="110"/>
        <v>0</v>
      </c>
      <c r="E154" s="144">
        <f t="shared" si="112"/>
        <v>16.12999999999738</v>
      </c>
      <c r="F154" s="147">
        <f t="shared" si="117"/>
        <v>78.69999999999709</v>
      </c>
      <c r="G154" s="162">
        <f t="shared" si="115"/>
        <v>0</v>
      </c>
      <c r="H154" s="101">
        <f t="shared" si="113"/>
        <v>1742.1553294997177</v>
      </c>
      <c r="I154" s="101">
        <f t="shared" si="118"/>
        <v>8500.162704999688</v>
      </c>
      <c r="P154" s="50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0"/>
    </row>
    <row r="155" spans="2:43" ht="15">
      <c r="B155" s="33">
        <f t="shared" si="116"/>
        <v>2056</v>
      </c>
      <c r="C155" s="135">
        <f t="shared" si="119"/>
        <v>29.987199999999916</v>
      </c>
      <c r="D155" s="164">
        <f t="shared" si="110"/>
        <v>0</v>
      </c>
      <c r="E155" s="144">
        <f t="shared" si="112"/>
        <v>0.3999999999978172</v>
      </c>
      <c r="F155" s="147">
        <f t="shared" si="117"/>
        <v>62.969999999997526</v>
      </c>
      <c r="G155" s="162">
        <f t="shared" si="115"/>
        <v>0</v>
      </c>
      <c r="H155" s="101">
        <f t="shared" si="113"/>
        <v>43.781311999760966</v>
      </c>
      <c r="I155" s="101">
        <f t="shared" si="118"/>
        <v>6892.273041599709</v>
      </c>
      <c r="P155" s="50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0"/>
    </row>
    <row r="156" spans="2:43" ht="15">
      <c r="B156" s="33">
        <f t="shared" si="116"/>
        <v>2057</v>
      </c>
      <c r="C156" s="135">
        <f t="shared" si="119"/>
        <v>30.383399999999938</v>
      </c>
      <c r="D156" s="164">
        <f t="shared" si="110"/>
        <v>0</v>
      </c>
      <c r="E156" s="144">
        <f t="shared" si="112"/>
        <v>0</v>
      </c>
      <c r="F156" s="147">
        <f t="shared" si="117"/>
        <v>47.23999999999796</v>
      </c>
      <c r="G156" s="162">
        <f t="shared" si="115"/>
        <v>0</v>
      </c>
      <c r="H156" s="162">
        <f t="shared" si="113"/>
        <v>0</v>
      </c>
      <c r="I156" s="101">
        <f t="shared" si="118"/>
        <v>5238.888128399763</v>
      </c>
      <c r="P156" s="50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0"/>
    </row>
    <row r="157" spans="2:43" ht="15">
      <c r="B157" s="33">
        <f t="shared" si="116"/>
        <v>2058</v>
      </c>
      <c r="C157" s="135">
        <f t="shared" si="119"/>
        <v>30.77959999999996</v>
      </c>
      <c r="D157" s="164">
        <f t="shared" si="110"/>
        <v>0</v>
      </c>
      <c r="E157" s="144">
        <f t="shared" si="112"/>
        <v>0</v>
      </c>
      <c r="F157" s="147">
        <f t="shared" si="117"/>
        <v>31.5099999999984</v>
      </c>
      <c r="G157" s="162">
        <f t="shared" si="115"/>
        <v>0</v>
      </c>
      <c r="H157" s="162">
        <f t="shared" si="113"/>
        <v>0</v>
      </c>
      <c r="I157" s="101">
        <f t="shared" si="118"/>
        <v>3540.0079653998155</v>
      </c>
      <c r="P157" s="50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0"/>
    </row>
    <row r="158" spans="2:43" ht="15">
      <c r="B158" s="33">
        <f t="shared" si="116"/>
        <v>2059</v>
      </c>
      <c r="C158" s="135">
        <f t="shared" si="119"/>
        <v>31.17579999999998</v>
      </c>
      <c r="D158" s="164">
        <f t="shared" si="110"/>
        <v>0</v>
      </c>
      <c r="E158" s="144">
        <f t="shared" si="112"/>
        <v>0</v>
      </c>
      <c r="F158" s="147">
        <f t="shared" si="117"/>
        <v>15.779999999998836</v>
      </c>
      <c r="G158" s="162">
        <f t="shared" si="115"/>
        <v>0</v>
      </c>
      <c r="H158" s="162">
        <f t="shared" si="113"/>
        <v>0</v>
      </c>
      <c r="I158" s="101">
        <f t="shared" si="118"/>
        <v>1795.6325525998664</v>
      </c>
      <c r="P158" s="50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0"/>
    </row>
    <row r="159" spans="2:43" ht="15">
      <c r="B159" s="33">
        <f t="shared" si="116"/>
        <v>2060</v>
      </c>
      <c r="C159" s="135">
        <f t="shared" si="119"/>
        <v>31.572000000000003</v>
      </c>
      <c r="D159" s="164">
        <f t="shared" si="110"/>
        <v>0</v>
      </c>
      <c r="E159" s="144">
        <f t="shared" si="112"/>
        <v>0</v>
      </c>
      <c r="F159" s="147">
        <f t="shared" si="117"/>
        <v>0.049999999999272404</v>
      </c>
      <c r="G159" s="162">
        <f t="shared" si="115"/>
        <v>0</v>
      </c>
      <c r="H159" s="162">
        <f t="shared" si="113"/>
        <v>0</v>
      </c>
      <c r="I159" s="101">
        <f t="shared" si="118"/>
        <v>5.761889999916154</v>
      </c>
      <c r="P159" s="50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0"/>
    </row>
    <row r="160" spans="2:43" ht="15">
      <c r="B160" s="33">
        <f aca="true" t="shared" si="120" ref="B160:B173">B159+1</f>
        <v>2061</v>
      </c>
      <c r="C160" s="135">
        <f t="shared" si="119"/>
        <v>31.968200000000024</v>
      </c>
      <c r="D160" s="164">
        <f t="shared" si="110"/>
        <v>0</v>
      </c>
      <c r="E160" s="144">
        <f t="shared" si="112"/>
        <v>0</v>
      </c>
      <c r="F160" s="147">
        <f t="shared" si="117"/>
        <v>0</v>
      </c>
      <c r="G160" s="162">
        <f t="shared" si="115"/>
        <v>0</v>
      </c>
      <c r="H160" s="162">
        <f t="shared" si="113"/>
        <v>0</v>
      </c>
      <c r="I160" s="162">
        <f t="shared" si="118"/>
        <v>0</v>
      </c>
      <c r="P160" s="50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0"/>
    </row>
    <row r="161" spans="2:43" ht="15">
      <c r="B161" s="33">
        <f t="shared" si="120"/>
        <v>2062</v>
      </c>
      <c r="C161" s="135">
        <f t="shared" si="119"/>
        <v>32.36439999999993</v>
      </c>
      <c r="D161" s="164">
        <f t="shared" si="110"/>
        <v>0</v>
      </c>
      <c r="E161" s="144">
        <f t="shared" si="112"/>
        <v>0</v>
      </c>
      <c r="F161" s="147">
        <f t="shared" si="117"/>
        <v>0</v>
      </c>
      <c r="G161" s="162">
        <f t="shared" si="115"/>
        <v>0</v>
      </c>
      <c r="H161" s="162">
        <f t="shared" si="113"/>
        <v>0</v>
      </c>
      <c r="I161" s="162">
        <f t="shared" si="118"/>
        <v>0</v>
      </c>
      <c r="P161" s="50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0"/>
    </row>
    <row r="162" spans="2:43" ht="15">
      <c r="B162" s="33">
        <f t="shared" si="120"/>
        <v>2063</v>
      </c>
      <c r="C162" s="135">
        <f t="shared" si="119"/>
        <v>32.760599999999954</v>
      </c>
      <c r="D162" s="164">
        <f t="shared" si="110"/>
        <v>0</v>
      </c>
      <c r="E162" s="144">
        <f t="shared" si="112"/>
        <v>0</v>
      </c>
      <c r="F162" s="147">
        <f t="shared" si="117"/>
        <v>0</v>
      </c>
      <c r="G162" s="162">
        <f t="shared" si="115"/>
        <v>0</v>
      </c>
      <c r="H162" s="162">
        <f t="shared" si="113"/>
        <v>0</v>
      </c>
      <c r="I162" s="162">
        <f t="shared" si="118"/>
        <v>0</v>
      </c>
      <c r="P162" s="50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0"/>
    </row>
    <row r="163" spans="2:43" ht="15">
      <c r="B163" s="33">
        <f t="shared" si="120"/>
        <v>2064</v>
      </c>
      <c r="C163" s="135">
        <f t="shared" si="119"/>
        <v>33.156799999999976</v>
      </c>
      <c r="D163" s="164">
        <f t="shared" si="110"/>
        <v>0</v>
      </c>
      <c r="E163" s="144">
        <f t="shared" si="112"/>
        <v>0</v>
      </c>
      <c r="F163" s="147">
        <f t="shared" si="117"/>
        <v>0</v>
      </c>
      <c r="G163" s="162">
        <f t="shared" si="115"/>
        <v>0</v>
      </c>
      <c r="H163" s="162">
        <f t="shared" si="113"/>
        <v>0</v>
      </c>
      <c r="I163" s="162">
        <f t="shared" si="118"/>
        <v>0</v>
      </c>
      <c r="P163" s="50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0"/>
    </row>
    <row r="164" spans="2:43" ht="15">
      <c r="B164" s="33">
        <f t="shared" si="120"/>
        <v>2065</v>
      </c>
      <c r="C164" s="135">
        <f t="shared" si="119"/>
        <v>33.553</v>
      </c>
      <c r="D164" s="164">
        <f t="shared" si="110"/>
        <v>0</v>
      </c>
      <c r="E164" s="144">
        <f t="shared" si="112"/>
        <v>0</v>
      </c>
      <c r="F164" s="147">
        <f t="shared" si="117"/>
        <v>0</v>
      </c>
      <c r="G164" s="162">
        <f t="shared" si="115"/>
        <v>0</v>
      </c>
      <c r="H164" s="162">
        <f t="shared" si="113"/>
        <v>0</v>
      </c>
      <c r="I164" s="162">
        <f t="shared" si="118"/>
        <v>0</v>
      </c>
      <c r="P164" s="50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0"/>
    </row>
    <row r="165" spans="2:43" ht="15">
      <c r="B165" s="33">
        <f t="shared" si="120"/>
        <v>2066</v>
      </c>
      <c r="C165" s="135">
        <f t="shared" si="119"/>
        <v>33.94920000000002</v>
      </c>
      <c r="D165" s="164">
        <f t="shared" si="110"/>
        <v>0</v>
      </c>
      <c r="E165" s="144">
        <f t="shared" si="112"/>
        <v>0</v>
      </c>
      <c r="F165" s="147">
        <f t="shared" si="117"/>
        <v>0</v>
      </c>
      <c r="G165" s="162">
        <f t="shared" si="115"/>
        <v>0</v>
      </c>
      <c r="H165" s="162">
        <f t="shared" si="113"/>
        <v>0</v>
      </c>
      <c r="I165" s="162">
        <f t="shared" si="118"/>
        <v>0</v>
      </c>
      <c r="P165" s="50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0"/>
    </row>
    <row r="166" spans="2:43" ht="15">
      <c r="B166" s="33">
        <f t="shared" si="120"/>
        <v>2067</v>
      </c>
      <c r="C166" s="135">
        <f t="shared" si="119"/>
        <v>34.34539999999993</v>
      </c>
      <c r="D166" s="164">
        <f t="shared" si="110"/>
        <v>0</v>
      </c>
      <c r="E166" s="144">
        <f t="shared" si="112"/>
        <v>0</v>
      </c>
      <c r="F166" s="147">
        <f t="shared" si="117"/>
        <v>0</v>
      </c>
      <c r="G166" s="162">
        <f t="shared" si="115"/>
        <v>0</v>
      </c>
      <c r="H166" s="162">
        <f t="shared" si="113"/>
        <v>0</v>
      </c>
      <c r="I166" s="162">
        <f t="shared" si="118"/>
        <v>0</v>
      </c>
      <c r="P166" s="50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0"/>
    </row>
    <row r="167" spans="2:43" ht="15">
      <c r="B167" s="33">
        <f t="shared" si="120"/>
        <v>2068</v>
      </c>
      <c r="C167" s="135">
        <f t="shared" si="119"/>
        <v>34.74159999999995</v>
      </c>
      <c r="D167" s="164">
        <f t="shared" si="110"/>
        <v>0</v>
      </c>
      <c r="E167" s="144">
        <f t="shared" si="112"/>
        <v>0</v>
      </c>
      <c r="F167" s="147">
        <f t="shared" si="117"/>
        <v>0</v>
      </c>
      <c r="G167" s="162">
        <f t="shared" si="115"/>
        <v>0</v>
      </c>
      <c r="H167" s="162">
        <f t="shared" si="113"/>
        <v>0</v>
      </c>
      <c r="I167" s="162">
        <f t="shared" si="118"/>
        <v>0</v>
      </c>
      <c r="P167" s="50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0"/>
    </row>
    <row r="168" spans="2:43" ht="15">
      <c r="B168" s="33">
        <f t="shared" si="120"/>
        <v>2069</v>
      </c>
      <c r="C168" s="135">
        <f t="shared" si="119"/>
        <v>35.13779999999997</v>
      </c>
      <c r="D168" s="164">
        <f t="shared" si="110"/>
        <v>0</v>
      </c>
      <c r="E168" s="144">
        <f t="shared" si="112"/>
        <v>0</v>
      </c>
      <c r="F168" s="147">
        <f t="shared" si="117"/>
        <v>0</v>
      </c>
      <c r="G168" s="162">
        <f t="shared" si="115"/>
        <v>0</v>
      </c>
      <c r="H168" s="162">
        <f t="shared" si="113"/>
        <v>0</v>
      </c>
      <c r="I168" s="162">
        <f t="shared" si="118"/>
        <v>0</v>
      </c>
      <c r="P168" s="50"/>
      <c r="AA168" s="51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0"/>
    </row>
    <row r="169" spans="2:43" ht="15">
      <c r="B169" s="33">
        <f t="shared" si="120"/>
        <v>2070</v>
      </c>
      <c r="C169" s="135">
        <f t="shared" si="119"/>
        <v>35.53399999999999</v>
      </c>
      <c r="D169" s="164">
        <f t="shared" si="110"/>
        <v>0</v>
      </c>
      <c r="E169" s="144">
        <f t="shared" si="112"/>
        <v>0</v>
      </c>
      <c r="F169" s="147">
        <f t="shared" si="117"/>
        <v>0</v>
      </c>
      <c r="G169" s="162">
        <f t="shared" si="115"/>
        <v>0</v>
      </c>
      <c r="H169" s="162">
        <f t="shared" si="113"/>
        <v>0</v>
      </c>
      <c r="I169" s="162">
        <f t="shared" si="118"/>
        <v>0</v>
      </c>
      <c r="P169" s="50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0"/>
    </row>
    <row r="170" spans="2:43" ht="15">
      <c r="B170" s="33">
        <f t="shared" si="120"/>
        <v>2071</v>
      </c>
      <c r="C170" s="135">
        <f t="shared" si="119"/>
        <v>35.93020000000001</v>
      </c>
      <c r="D170" s="164">
        <f t="shared" si="110"/>
        <v>0</v>
      </c>
      <c r="E170" s="144">
        <f t="shared" si="112"/>
        <v>0</v>
      </c>
      <c r="F170" s="147">
        <f t="shared" si="117"/>
        <v>0</v>
      </c>
      <c r="G170" s="162">
        <f t="shared" si="115"/>
        <v>0</v>
      </c>
      <c r="H170" s="162">
        <f t="shared" si="113"/>
        <v>0</v>
      </c>
      <c r="I170" s="162">
        <f t="shared" si="118"/>
        <v>0</v>
      </c>
      <c r="P170" s="50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0"/>
    </row>
    <row r="171" spans="2:43" ht="15">
      <c r="B171" s="33">
        <f t="shared" si="120"/>
        <v>2072</v>
      </c>
      <c r="C171" s="135">
        <f t="shared" si="119"/>
        <v>36.32639999999992</v>
      </c>
      <c r="D171" s="164">
        <f t="shared" si="110"/>
        <v>0</v>
      </c>
      <c r="E171" s="144">
        <f t="shared" si="112"/>
        <v>0</v>
      </c>
      <c r="F171" s="147">
        <f t="shared" si="117"/>
        <v>0</v>
      </c>
      <c r="G171" s="162">
        <f t="shared" si="115"/>
        <v>0</v>
      </c>
      <c r="H171" s="162">
        <f t="shared" si="113"/>
        <v>0</v>
      </c>
      <c r="I171" s="162">
        <f t="shared" si="118"/>
        <v>0</v>
      </c>
      <c r="P171" s="50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0"/>
    </row>
    <row r="172" spans="2:43" ht="15">
      <c r="B172" s="33">
        <f t="shared" si="120"/>
        <v>2073</v>
      </c>
      <c r="C172" s="135">
        <f t="shared" si="119"/>
        <v>36.72259999999994</v>
      </c>
      <c r="D172" s="164">
        <f t="shared" si="110"/>
        <v>0</v>
      </c>
      <c r="E172" s="144">
        <f t="shared" si="112"/>
        <v>0</v>
      </c>
      <c r="F172" s="147">
        <f t="shared" si="117"/>
        <v>0</v>
      </c>
      <c r="G172" s="162">
        <f t="shared" si="115"/>
        <v>0</v>
      </c>
      <c r="H172" s="162">
        <f t="shared" si="113"/>
        <v>0</v>
      </c>
      <c r="I172" s="162">
        <f t="shared" si="118"/>
        <v>0</v>
      </c>
      <c r="P172" s="50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0"/>
    </row>
    <row r="173" spans="2:43" ht="15.75" thickBot="1">
      <c r="B173" s="96">
        <f t="shared" si="120"/>
        <v>2074</v>
      </c>
      <c r="C173" s="136">
        <f t="shared" si="119"/>
        <v>37.118799999999965</v>
      </c>
      <c r="D173" s="165">
        <f t="shared" si="110"/>
        <v>0</v>
      </c>
      <c r="E173" s="149">
        <f t="shared" si="112"/>
        <v>0</v>
      </c>
      <c r="F173" s="150">
        <f t="shared" si="117"/>
        <v>0</v>
      </c>
      <c r="G173" s="163">
        <f t="shared" si="115"/>
        <v>0</v>
      </c>
      <c r="H173" s="163">
        <f t="shared" si="113"/>
        <v>0</v>
      </c>
      <c r="I173" s="163">
        <f t="shared" si="118"/>
        <v>0</v>
      </c>
      <c r="P173" s="50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0"/>
    </row>
    <row r="174" spans="7:42" ht="13.5" thickBot="1">
      <c r="G174" s="6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</row>
    <row r="175" spans="2:42" ht="13.5" thickBot="1">
      <c r="B175" s="52" t="s">
        <v>36</v>
      </c>
      <c r="C175" s="54" t="s">
        <v>6</v>
      </c>
      <c r="D175" s="143" t="s">
        <v>13</v>
      </c>
      <c r="E175" s="143" t="s">
        <v>8</v>
      </c>
      <c r="G175" s="6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</row>
    <row r="176" spans="2:42" ht="13.5" thickBot="1">
      <c r="B176" s="91"/>
      <c r="C176" s="143" t="s">
        <v>35</v>
      </c>
      <c r="D176" s="143" t="s">
        <v>35</v>
      </c>
      <c r="E176" s="143" t="s">
        <v>35</v>
      </c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</row>
    <row r="177" spans="2:42" ht="15">
      <c r="B177" s="36">
        <v>2012</v>
      </c>
      <c r="C177" s="126">
        <f>G20</f>
        <v>670.86</v>
      </c>
      <c r="D177" s="145" t="s">
        <v>57</v>
      </c>
      <c r="E177" s="146" t="s">
        <v>57</v>
      </c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</row>
    <row r="178" spans="2:42" ht="15">
      <c r="B178" s="34">
        <v>2020</v>
      </c>
      <c r="C178" s="135">
        <v>469.25</v>
      </c>
      <c r="D178" s="144">
        <v>566.68</v>
      </c>
      <c r="E178" s="147" t="s">
        <v>57</v>
      </c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</row>
    <row r="179" spans="2:42" ht="15.75" thickBot="1">
      <c r="B179" s="35">
        <v>2050</v>
      </c>
      <c r="C179" s="148">
        <v>48.59</v>
      </c>
      <c r="D179" s="149" t="s">
        <v>57</v>
      </c>
      <c r="E179" s="150">
        <v>157.35</v>
      </c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</row>
    <row r="180" spans="28:42" ht="12.75"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</row>
    <row r="182" spans="2:3" ht="12.75">
      <c r="B182" s="151" t="s">
        <v>58</v>
      </c>
      <c r="C182" s="151" t="s">
        <v>68</v>
      </c>
    </row>
    <row r="183" spans="2:3" ht="12.75">
      <c r="B183" s="151" t="s">
        <v>60</v>
      </c>
      <c r="C183" s="151" t="s">
        <v>69</v>
      </c>
    </row>
  </sheetData>
  <sheetProtection sheet="1"/>
  <mergeCells count="17">
    <mergeCell ref="CY1:DH1"/>
    <mergeCell ref="C13:D13"/>
    <mergeCell ref="E13:H13"/>
    <mergeCell ref="R36:AP36"/>
    <mergeCell ref="R20:AP20"/>
    <mergeCell ref="R4:AP4"/>
    <mergeCell ref="AU4:BS4"/>
    <mergeCell ref="AU20:BS20"/>
    <mergeCell ref="AU36:BS36"/>
    <mergeCell ref="AS1:BT1"/>
    <mergeCell ref="BX4:CV4"/>
    <mergeCell ref="P1:AQ1"/>
    <mergeCell ref="D25:F25"/>
    <mergeCell ref="C12:H12"/>
    <mergeCell ref="BV1:CW1"/>
    <mergeCell ref="B1:M1"/>
    <mergeCell ref="G25:I25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> </cp:lastModifiedBy>
  <dcterms:created xsi:type="dcterms:W3CDTF">2012-03-24T21:08:05Z</dcterms:created>
  <dcterms:modified xsi:type="dcterms:W3CDTF">2012-04-25T16:16:50Z</dcterms:modified>
  <cp:category/>
  <cp:version/>
  <cp:contentType/>
  <cp:contentStatus/>
</cp:coreProperties>
</file>